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367" i="1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V354"/>
  <c r="U354"/>
  <c r="V353"/>
  <c r="U353"/>
  <c r="V352"/>
  <c r="U352"/>
  <c r="U351"/>
  <c r="V350"/>
  <c r="U350"/>
  <c r="V349"/>
  <c r="U349"/>
  <c r="V348"/>
  <c r="U348"/>
  <c r="V347"/>
  <c r="U347"/>
  <c r="V346"/>
  <c r="U346"/>
  <c r="U345"/>
  <c r="U344"/>
  <c r="V343"/>
  <c r="U343"/>
  <c r="V342"/>
  <c r="U342"/>
  <c r="V341"/>
  <c r="U341"/>
  <c r="V340"/>
  <c r="U340"/>
  <c r="V339"/>
  <c r="U339"/>
  <c r="V338"/>
  <c r="U338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U254"/>
  <c r="V253"/>
  <c r="U253"/>
  <c r="V252"/>
  <c r="U252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U230"/>
  <c r="V229"/>
  <c r="U229"/>
  <c r="V228"/>
  <c r="U228"/>
  <c r="V227"/>
  <c r="U227"/>
  <c r="V226"/>
  <c r="U226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U191"/>
  <c r="V190"/>
  <c r="U190"/>
  <c r="V189"/>
  <c r="U189"/>
  <c r="V188"/>
  <c r="U188"/>
  <c r="V187"/>
  <c r="U187"/>
  <c r="V186"/>
  <c r="U186"/>
  <c r="V185"/>
  <c r="U185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U18"/>
  <c r="V17"/>
  <c r="U17"/>
  <c r="V16"/>
  <c r="U16"/>
  <c r="V15"/>
  <c r="U15"/>
  <c r="V14"/>
  <c r="U14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<sst xmlns="http://schemas.openxmlformats.org/spreadsheetml/2006/main" count="6487" uniqueCount="2952">
  <si>
    <t>ИНФРА-М Научно-издательский Центр</t>
  </si>
  <si>
    <t>05. Компьютерные и информационные науки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</si>
  <si>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</si>
  <si>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</si>
  <si>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</si>
  <si>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</si>
  <si>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</si>
  <si>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</si>
  <si>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</si>
  <si>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</si>
  <si>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</si>
  <si>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</si>
  <si>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</si>
  <si>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</si>
  <si>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</si>
  <si>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</si>
  <si>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</si>
  <si>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</si>
  <si>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</si>
  <si>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</si>
  <si>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</si>
  <si>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</si>
  <si>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</si>
  <si>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</si>
  <si>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</si>
  <si>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</si>
  <si>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</si>
  <si>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</si>
  <si>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</si>
  <si>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</si>
  <si>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</si>
  <si>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</si>
  <si>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</si>
  <si>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307200.03.01</t>
  </si>
  <si>
    <t>1С: Предприятие. Проект.прилож.: Уч.пос. / Э.Г.Дадян - М.:Вуз.уч., НИЦ ИНФРА-М,2017 - 288с(п)</t>
  </si>
  <si>
    <t>1С: ПРЕДПРИЯТИЕ. ПРОЕКТИРОВАНИЕ  ПРИЛОЖЕНИЙ</t>
  </si>
  <si>
    <t>Дадян Э.Г.</t>
  </si>
  <si>
    <t>Переплет 7БЦ</t>
  </si>
  <si>
    <t>Вузовский учебник</t>
  </si>
  <si>
    <t>978-5-9558-0394-4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</si>
  <si>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</si>
  <si>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</si>
  <si>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</si>
  <si>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ВО - Бакалавриат</t>
  </si>
  <si>
    <t>38.04.01, 38.04.05, 38.03.01, 38.03.05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</si>
  <si>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подготовки 080100 «Экономика" (квалификация (степень) - бакалавр)</t>
  </si>
  <si>
    <t>Финансовый университет при Правительстве Российской Федерации</t>
  </si>
  <si>
    <t>0114</t>
  </si>
  <si>
    <t>468250.11.01</t>
  </si>
  <si>
    <t>3D Studio Max + VRay + Corona: Уч.пос. / Д.А.Хворостов - 2 изд. - М.:ФОРУМ:НИЦ ИНФРА-М,2023 - 333 с..(П)</t>
  </si>
  <si>
    <t>3D STUDIO MAX + VRAY + CORONA. ПРОЕКТИРОВАНИЕ ДИЗАЙНА СРЕДЫ, ИЗД.2</t>
  </si>
  <si>
    <t>Хворостов Д. А.</t>
  </si>
  <si>
    <t>Переплет 7БЦ/Без шитья</t>
  </si>
  <si>
    <t>Форум</t>
  </si>
  <si>
    <t>Высшее образование</t>
  </si>
  <si>
    <t>978-5-00091-801-2</t>
  </si>
  <si>
    <t>54.04.01, 54.05.03, 54.03.01, 54.01.20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</si>
  <si>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54.03.01 «Дизайн», 54.03.02 «Декоративно-прикладное искусство и народные промыслы» (квалификация (степень) «бакалавр») (протокол № 11 от 09.11.2020)</t>
  </si>
  <si>
    <t>Орловский государственный университет им. И.С. Тургенева</t>
  </si>
  <si>
    <t>0221</t>
  </si>
  <si>
    <t>682799.01.01</t>
  </si>
  <si>
    <t>3D Studio Max + VRay. Проектир...: Уч.пос. / Д.А.Хворостов, - 2 изд.-М.:Форум, НИЦ ИНФРА-М,2024.-333 с.(п)</t>
  </si>
  <si>
    <t>3D STUDIO MAX + VRAY. ПРОЕКТИРОВАНИЕ ДИЗАЙНА СРЕДЫ, ИЗД.2</t>
  </si>
  <si>
    <t>Хворостов Д.А.</t>
  </si>
  <si>
    <t>Среднее профессиональное образование</t>
  </si>
  <si>
    <t>978-5-00091-802-9</t>
  </si>
  <si>
    <t>Профессиональное образование / Среднее профессиональное образование</t>
  </si>
  <si>
    <t>54.02.01</t>
  </si>
  <si>
    <t>Сентябрь, 2023</t>
  </si>
  <si>
    <t>32</t>
  </si>
  <si>
    <t>0224</t>
  </si>
  <si>
    <t>468250.05.01</t>
  </si>
  <si>
    <t>3D Studio Max + VRay...: Уч.пос. / Д.А.Хворостов - М.:Форум,НИЦ ИНФРА-М,2019 - 270с(ВО:Бакалавр.)(о)</t>
  </si>
  <si>
    <t>3D STUDIO MAX + VRAY. ПРОЕКТИРОВАНИЕ ДИЗАЙНА СРЕДЫ</t>
  </si>
  <si>
    <t>Обложка. КБС</t>
  </si>
  <si>
    <t>Высшее образование: Бакалавриат</t>
  </si>
  <si>
    <t>978-5-00091-515-8</t>
  </si>
  <si>
    <t>Рекомендовано в качестве учебного пособия для студентов высших учебных заведений, обучающихся по специальностям художественно-графического цикла</t>
  </si>
  <si>
    <t>0115</t>
  </si>
  <si>
    <t>189250.03.01</t>
  </si>
  <si>
    <t>Delphi: програм. в прим. и задачах. Практ.: Уч.пос./ Г.М.Эйдлина-М:ИЦ РИОР:НИЦ Инфра-М,2017-119-(ВО)</t>
  </si>
  <si>
    <t>DELPHI: ПРОГРАММИРОВАНИЕ В ПРИМЕРАХ И ЗАДАЧАХ. ПРАКТИКУМ</t>
  </si>
  <si>
    <t>Эйдлина Г. М., Милорадов К. А.</t>
  </si>
  <si>
    <t>ИЦ РИОР</t>
  </si>
  <si>
    <t>СПО</t>
  </si>
  <si>
    <t>978-5-369-01084-6</t>
  </si>
  <si>
    <t>Практикум</t>
  </si>
  <si>
    <t>09.03.01, 09.03.02, 09.04.01, 09.04.02</t>
  </si>
  <si>
    <t>Российский экономический университет им. Г.В. Плеханова</t>
  </si>
  <si>
    <t>0112</t>
  </si>
  <si>
    <t>682800.05.01</t>
  </si>
  <si>
    <t>Delphi: программир. в примерах и задачах. Прак. / Г.М.Эйдлина, - 2 изд.-М.:ИЦ РИОР, НИЦ ИНФРА-М,2024.-138 с.(СПО)(о)</t>
  </si>
  <si>
    <t>DELPHI: ПРОГРАММИРОВАНИЕ В ПРИМЕРАХ И ЗАДАЧАХ. ПРАКТИКУМ, ИЗД.2</t>
  </si>
  <si>
    <t>Эйдлина Г.М., Милорадов К.А.</t>
  </si>
  <si>
    <t>978-5-369-01762-3</t>
  </si>
  <si>
    <t>09.02.02, 09.02.01, 09.02.03, 09.02.04, 09.02.05, 10.02.02, 10.02.03, 10.02.01, 10.02.04, 10.02.05, 09.02.06, 09.02.07</t>
  </si>
  <si>
    <t>0218</t>
  </si>
  <si>
    <t>189250.07.01</t>
  </si>
  <si>
    <t>Delphi: программирование в прим. и задачах. Практ.:Уч.пос. / Г.М.Эйдлина - 2изд.-М.:ИЦ РИОР, НИЦ ИНФРА-М,2023-138 с.(ВО)</t>
  </si>
  <si>
    <t>978-5-369-01768-5</t>
  </si>
  <si>
    <t>449150.13.01</t>
  </si>
  <si>
    <t>Photoshop шаг за шагом. Практикум: Уч.пос. / Л.В.Кравченко - М.:Форум,НИЦ ИНФРА-М,2023 - 136 с(СПО)(О)</t>
  </si>
  <si>
    <t>PHOTOSHOP ШАГ ЗА ШАГОМ. ПРАКТИКУМ</t>
  </si>
  <si>
    <t>Кравченко Л. В., Кравченко С. И.</t>
  </si>
  <si>
    <t>978-5-00091-519-6</t>
  </si>
  <si>
    <t>54.01.16, 54.01.17, 54.01.18, 54.01.19, 54.01.01, 54.01.02, 54.01.04, 54.01.05, 54.01.06, 54.01.07, 54.01.08, 54.01.09, 54.01.10, 54.01.11, 54.01.12, 54.01.13, 54.01.14, 54.01.15, 54.01.03, 54.02.08, 09.02.05, 54.02.06, 54.02.05, 54.02.07, 54.02.04, 54.02.01, 54.02.02, 54.02.03, 09.03.01, 54.01.20</t>
  </si>
  <si>
    <t>Рекомендовано в качестве учебного пособия для учебных заведений, реализующих программу среднего профессионального образования по УГС 09.00.00 «Информатика и вычислительная техника»</t>
  </si>
  <si>
    <t>Московский педагогический государственный университет</t>
  </si>
  <si>
    <t>0113</t>
  </si>
  <si>
    <t>682805.03.01</t>
  </si>
  <si>
    <t>Web-аппликации в интернет-маркетинге: проект...:Практ.пос./ Я.С.Винарский-М.:НИЦ ИНФРА-М,2023-269с</t>
  </si>
  <si>
    <t>WEB-АППЛИКАЦИИ В ИНТЕРНЕТ-МАРКЕТИНГЕ: ПРОЕКТИРОВАНИЕ, СОЗДАНИЕ И ПРИМЕНЕНИЕ</t>
  </si>
  <si>
    <t>Винарский Я.С., Гутгарц Р.Д.</t>
  </si>
  <si>
    <t>НИЦ ИНФРА-М</t>
  </si>
  <si>
    <t>978-5-16-014219-7</t>
  </si>
  <si>
    <t>Практическое пособие</t>
  </si>
  <si>
    <t>09.02.02, 09.02.01, 09.02.03, 09.02.04, 09.02.05</t>
  </si>
  <si>
    <t>ДА</t>
  </si>
  <si>
    <t>Иркутский национальный исследовательский технический университет</t>
  </si>
  <si>
    <t>?2</t>
  </si>
  <si>
    <t>0118</t>
  </si>
  <si>
    <t>471750.06.01</t>
  </si>
  <si>
    <t>Web-аппликации в Интернет-маркетинге: проектир..: Прак. пос. / Я.С.Винарский-М.:НИЦ ИНФРА-М,2023.-269 с.(О)</t>
  </si>
  <si>
    <t>Просто, кратко, быстро</t>
  </si>
  <si>
    <t>978-5-16-010065-4</t>
  </si>
  <si>
    <t>Дополнительное образование / Дополнительное профессиональное образование</t>
  </si>
  <si>
    <t>09.03.02, 09.04.02</t>
  </si>
  <si>
    <t>672155.03.01</t>
  </si>
  <si>
    <t>Адаптивные системы управл. с идентифик.:Моногр./А.И.Рубан-М:НИЦ ИНФРА-М,СФУ,2023-139с(Науч.мысль)(О)</t>
  </si>
  <si>
    <t>АДАПТИВНЫЕ СИСТЕМЫ УПРАВЛЕНИЯ С ИДЕНТИФИКАЦИЕЙ</t>
  </si>
  <si>
    <t>Рубан А.И.</t>
  </si>
  <si>
    <t>Научная мысль (СФУ)</t>
  </si>
  <si>
    <t>978-5-16-018646-7</t>
  </si>
  <si>
    <t>Монография</t>
  </si>
  <si>
    <t>27.04.03</t>
  </si>
  <si>
    <t>Сибирский федеральный университет</t>
  </si>
  <si>
    <t>656481.06.01</t>
  </si>
  <si>
    <t>Актуальные вопросы защиты информации: Моногр. / Е.К.Баранова-М.:ИЦ РИОР, НИЦ ИНФРА-М,2023-111с.(О)</t>
  </si>
  <si>
    <t>АКТУАЛЬНЫЕ ВОПРОСЫ ЗАЩИТЫ ИНФОРМАЦИИ</t>
  </si>
  <si>
    <t>Баранова Е.К., Бабаш А.В.</t>
  </si>
  <si>
    <t>Научная мысль</t>
  </si>
  <si>
    <t>978-5-369-01680-0</t>
  </si>
  <si>
    <t>46.03.02, 09.03.01, 10.03.01, 27.03.02, 10.04.01, 27.04.03, 10.05.04, 10.05.01, 10.05.03, 10.05.05, 10.05.02, 10.05.07</t>
  </si>
  <si>
    <t>Национальный исследовательский университет "Высшая школа экономики"</t>
  </si>
  <si>
    <t>0117</t>
  </si>
  <si>
    <t>090850.13.01</t>
  </si>
  <si>
    <t>Алгоритмизация и программирование: Уч.пос. / С.А.Канцедал - М.:ИД ФОРУМ, НИЦ ИНФРА-М,2022-352 с(СПО)(П)</t>
  </si>
  <si>
    <t>АЛГОРИТМИЗАЦИЯ И ПРОГРАММИРОВАНИЕ</t>
  </si>
  <si>
    <t>Канцедал С.А.</t>
  </si>
  <si>
    <t>ИД Форум</t>
  </si>
  <si>
    <t>978-5-8199-0727-6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</si>
  <si>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</si>
  <si>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-</t>
  </si>
  <si>
    <t>0108</t>
  </si>
  <si>
    <t>632548.09.01</t>
  </si>
  <si>
    <t>Алгоритмы и структуры данных: Уч. / В.В.Белов - М.:КУРС, НИЦ ИНФРА-М,2023-240 с.-(Бакалавриат)(П)</t>
  </si>
  <si>
    <t>АЛГОРИТМЫ И СТРУКТУРЫ ДАННЫХ</t>
  </si>
  <si>
    <t>Белов В.В., Чистякова В.И.</t>
  </si>
  <si>
    <t>КУРС</t>
  </si>
  <si>
    <t>Бакалавриат</t>
  </si>
  <si>
    <t>978-5-906818-25-6</t>
  </si>
  <si>
    <t>Учебник</t>
  </si>
  <si>
    <t>09.03.01, 09.03.04, 09.03.02, 09.03.03</t>
  </si>
  <si>
    <t>Рекомендовано Научно-методическим советом ФГБОУ ВО «РГРТУ» в качестве учебника для студентов высших учебных заведений, обучающихся по направлению подготовки 09.03.04 «Программная инженерия» (квалификация — Бакалавр)</t>
  </si>
  <si>
    <t>Рязанский государственный радиотехнический университет имени В.Ф. Уткина</t>
  </si>
  <si>
    <t>0116</t>
  </si>
  <si>
    <t>806325.01.01</t>
  </si>
  <si>
    <t>Анализ рисков в процессах обеспеч. информац. безопас. / А.В.Царегородцев.-М.:НИЦ ИНФРА-М,2023.-198 с(о)</t>
  </si>
  <si>
    <t>АНАЛИЗ РИСКОВ В ПРОЦЕССАХ ОБЕСПЕЧЕНИЯ ИНФОРМАЦИОННОЙ БЕЗОПАСНОСТИ ЖИЗНЕННОГО ЦИКЛА ФИНАНСОВЫХ АВТОМАТИЗИРОВАННЫХ ИНФОРМАЦИОННЫХ СИСТЕМ</t>
  </si>
  <si>
    <t>Царегородцев А.В., Романовский С.В., Волков С.Д.</t>
  </si>
  <si>
    <t>Научная мысль - Финансовый университет</t>
  </si>
  <si>
    <t>978-5-16-018719-8</t>
  </si>
  <si>
    <t>10.03.01, 09.04.01, 38.05.01, 10.05.02, 09.06.01, 10.06.01, 38.03.05, 09.03.03</t>
  </si>
  <si>
    <t>0124</t>
  </si>
  <si>
    <t>401500.09.01</t>
  </si>
  <si>
    <t>Архитектура и проект. программных систем: Моногр. / С.В.Назаров -2 изд.-М.:НИЦ ИНФРА-М,2023-374с.(П)</t>
  </si>
  <si>
    <t>АРХИТЕКТУРА И ПРОЕКТИРОВАНИЕ ПРОГРАММНЫХ СИСТЕМ, ИЗД.2</t>
  </si>
  <si>
    <t>Назаров С.В.</t>
  </si>
  <si>
    <t>978-5-16-011753-9</t>
  </si>
  <si>
    <t>02.03.02, 02.03.03, 09.03.04, 09.03.02, 12.03.03, 02.06.01</t>
  </si>
  <si>
    <t>Еврейский университет</t>
  </si>
  <si>
    <t>0216</t>
  </si>
  <si>
    <t>060560.24.01</t>
  </si>
  <si>
    <t>Архитектура ЭВМ и вычислит. систем: Уч. / Н.В.Максимов - 5 изд.-М.:Форум, НИЦ ИНФРА-М,2024.-511c.(П)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</si>
  <si>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</si>
  <si>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</si>
  <si>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</si>
  <si>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09.01.03, 09.01.02, 09.01.01, 26.02.04, 09.02.02, 09.02.01, 09.02.03, 09.02.04, 09.02.05, 10.02.02, 10.02.03, 10.02.01, 10.02.04, 15.02.09, 15.02.11, 10.02.05, 09.02.06, 09.02.07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</si>
  <si>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</si>
  <si>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</si>
  <si>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</si>
  <si>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640317.09.01</t>
  </si>
  <si>
    <t>Архитектура ЭВМ и вычислительные системы: Уч. / В.В.Степина - М.:КУРС, НИЦ ИНФРА-М,2023 - 384 с.(СПО)(П)</t>
  </si>
  <si>
    <t>АРХИТЕКТУРА ЭВМ И ВЫЧИСЛИТЕЛЬНЫЕ СИСТЕМЫ</t>
  </si>
  <si>
    <t>Степина В.В.</t>
  </si>
  <si>
    <t>978-5-906923-07-3</t>
  </si>
  <si>
    <t>09.02.02, 09.02.03, 09.02.05, 09.02.07</t>
  </si>
  <si>
    <t>Колледж предпринимательства № 11, г. Москва</t>
  </si>
  <si>
    <t>100600.17.01</t>
  </si>
  <si>
    <t>Архитектура ЭВМ: Уч.пос. /В.Д.Колдаев - М.:ИД ФОРУМ, НИЦ ИНФРА-М,2024 - 383 с.(СПО)(П)</t>
  </si>
  <si>
    <t>АРХИТЕКТУРА ЭВМ</t>
  </si>
  <si>
    <t>Колдаев В. Д., Лупин С. А.</t>
  </si>
  <si>
    <t>978-5-8199-0868-6</t>
  </si>
  <si>
    <t>09.02.02, 09.02.01, 09.02.03, 09.02.04, 09.02.05, 09.02.06, 09.02.07</t>
  </si>
  <si>
    <t>Московский институт электронной техники</t>
  </si>
  <si>
    <t>0109</t>
  </si>
  <si>
    <t>240800.13.01</t>
  </si>
  <si>
    <t>Базовые и прикладные информ. технологии: Уч. / В.А.Гвоздева -М.:ИД ФОРУМ, НИЦ ИНФРА-М,2023-383с-(ВО)</t>
  </si>
  <si>
    <t>БАЗОВЫЕ И ПРИКЛАДНЫЕ ИНФОРМАЦИОННЫЕ ТЕХНОЛОГИИ</t>
  </si>
  <si>
    <t>Гвоздева В. А.</t>
  </si>
  <si>
    <t>978-5-8199-0885-3</t>
  </si>
  <si>
    <t>33.02.01, 09.03.02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</si>
  <si>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учебника для студентов высших учебных заведений, обучающихся по техническим специальностям</t>
  </si>
  <si>
    <t>682829.02.01</t>
  </si>
  <si>
    <t>Базовые сред.програм.на Visual Basic  в среде... / В.Н.Шакин - М.:Форум,НИЦ ИНФРА-М,2021 - 287 с.(СПО)</t>
  </si>
  <si>
    <t>БАЗОВЫЕ СРЕДСТВА ПРОГРАММИРОВАНИЯ НА VISUAL BASIC  В СРЕДЕ VISUALSTUDIO NET. ПРАКТИКУМ</t>
  </si>
  <si>
    <t>Шакин В.Н.</t>
  </si>
  <si>
    <t>978-5-00091-565-3</t>
  </si>
  <si>
    <t>09.01.03, 09.02.02, 09.02.01, 09.02.03, 09.02.04, 09.02.05, 09.02.06, 09.02.07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</si>
  <si>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</si>
  <si>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Московский технический университет связи и информатики, Северо-Кавказский ф-л</t>
  </si>
  <si>
    <t>682828.01.01</t>
  </si>
  <si>
    <t>Базовые средства прогр. на Visual Basic в среде Visual...: Уч.пос/В.Н.Шакин-М.:Форум,НИЦ ИНФРА-М,2019-303c(п)</t>
  </si>
  <si>
    <t>БАЗОВЫЕ СРЕДСТВА ПРОГРАММИРОВАНИЯ НА VISUAL BASIC В СРЕДЕ VISUALSTUDIO .NET</t>
  </si>
  <si>
    <t>978-5-00091-564-6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</si>
  <si>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</si>
  <si>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0119</t>
  </si>
  <si>
    <t>343500.05.01</t>
  </si>
  <si>
    <t>Базовые средства программирования на Visual Basic... Практ.: Уч.пос.-М.:Форум, ИНФРА-М,2023.-288с.(П)</t>
  </si>
  <si>
    <t>978-5-00091-054-2</t>
  </si>
  <si>
    <t>09.03.01, 09.03.04, 09.03.02, 09.03.03, 09.05.01</t>
  </si>
  <si>
    <t>339700.05.01</t>
  </si>
  <si>
    <t>Базовые средства программирования на Visual Basic.../В.Н.Шакин-Форум: НИЦ ИНФРА-М,2024-304(ВО: Бак.)(п)</t>
  </si>
  <si>
    <t>БАЗОВЫЕ СРЕДСТВА ПРОГРАММИРОВАНИЯ НА VISUAL BASIC  В СРЕДЕ VISUALSTUDIO. NET</t>
  </si>
  <si>
    <t>978-5-00091-044-3</t>
  </si>
  <si>
    <t>Рекомендовано УМО по образованию в области инфокоммуникационных технологии и систем связи в качестве учебного пособия для студентов высших учебных заведений, обучающихся по направлениям подготовки 11.03.02 и 11.04.02 «Инфокоммуникационные технологии</t>
  </si>
  <si>
    <t>734789.03.01</t>
  </si>
  <si>
    <t>Базы данных и их безопасность: Уч.пос. / Ю.В.Полищук - М.:НИЦ ИНФРА-М,2023 - 210 с.-(СПО)(П)</t>
  </si>
  <si>
    <t>БАЗЫ ДАННЫХ И ИХ БЕЗОПАСНОСТЬ</t>
  </si>
  <si>
    <t>Полищук Ю.В., Боровский А.С.</t>
  </si>
  <si>
    <t>978-5-16-016151-8</t>
  </si>
  <si>
    <t>10.02.02, 10.02.03, 10.02.01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</si>
  <si>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</si>
  <si>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</si>
  <si>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</si>
  <si>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0121</t>
  </si>
  <si>
    <t>690447.05.01</t>
  </si>
  <si>
    <t>Базы данных и их безопасность: Уч.пос. / Ю.В.Полищук - М.:НИЦ ИНФРА-М,2023 - 210 с..-(ВО)(П)</t>
  </si>
  <si>
    <t>Высшее образование: Специалитет</t>
  </si>
  <si>
    <t>978-5-16-014924-0</t>
  </si>
  <si>
    <t>Профессиональное образование / ВО - Специалитет</t>
  </si>
  <si>
    <t>10.05.04, 10.05.01, 10.05.03, 10.05.05, 10.05.02, 10.05.07</t>
  </si>
  <si>
    <t>Рекомендовано Федеральным учебно-методическим объединением в системе высшего образования по укрупненной группе специальностей и направлений подготовки 10.00.00 «Информационная безопасность» в качестве учебного пособия студентов образовательных организаций высшего образования, обучающихся по специальности 10.05.03 «Информационная безопасность автоматизированных систем»</t>
  </si>
  <si>
    <t>0120</t>
  </si>
  <si>
    <t>633184.10.01</t>
  </si>
  <si>
    <t>Базы данных.Практ. прим.СУБД SQL и NoSOL: Уч.пос./ С.А.Мартишин-М.:ИД ФОРУМ, НИЦ ИНФРА-М,2024-368с.(ВО)(П)</t>
  </si>
  <si>
    <t>БАЗЫ ДАННЫХ.ПРАКТИЧЕСКОЕ ПРИМЕНЕНИЕ СУБД SQL И NOSOL-ТИПА ДЛЯ ПРИМЕНЕНИЯ ПРОЕКТИРОВАНИЯ ИНФОРМАЦИОННЫХ СИСТЕМ</t>
  </si>
  <si>
    <t>Мартишин С.А., Симонов В.Л., Храпченко М.В.</t>
  </si>
  <si>
    <t>978-5-8199-0946-1</t>
  </si>
  <si>
    <t>02.03.02, 02.03.03, 03.03.02, 09.03.01, 09.03.04, 09.03.02, 01.03.02, 38.03.05, 09.03.03, 09.05.01, 09.02.07</t>
  </si>
  <si>
    <t>Рекомендовано научно-методическим советом Национального исследовательского университета «МИЭТ» в качестве учебного пособия для бакалавров и магистрантов направлений подготовки 01.03.02 «Прикладная математика и информатика», 09.03.01 «Информатика и вычислительная техника», 09.03.02 «Информационные системы и технологии», 09.03.03 «Прикладная информатика», 09.03.04 «Программная инженерия», 27.03.04 «Управление в технических системах», 38.03.05 «Бизнес-информатика», 44.03.01 «Педагогическое образование (профиль "Информатика")»</t>
  </si>
  <si>
    <t>Институт системного программирования Российской академии наук</t>
  </si>
  <si>
    <t>682830.06.01</t>
  </si>
  <si>
    <t>Базы данных.Практ.прим.СУБД SQL- и NoSOL..:Уч.пос./С.А.Мартишин-М.:ИД ФОРУМ,НИЦ ИНФРА-М,2023-368(СПО)(П)</t>
  </si>
  <si>
    <t>БАЗЫ ДАННЫХ. ПРАКТИЧЕСКОЕ ПРИМЕНЕНИЕ СУБД SQL- И NOSOL-ТИПА ДЛЯ ПРИМЕНЕНИЯ ПРОЕКТИРОВАНИЯ ИНФОРМАЦИОННЫХ СИСТЕМ</t>
  </si>
  <si>
    <t>978-5-8199-0785-6</t>
  </si>
  <si>
    <t>09.02.02, 09.02.01, 09.02.03, 09.02.04, 09.02.05, 10.02.02, 10.02.03, 10.02.01, 10.02.04, 09.02.06, 09.02.07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</si>
  <si>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</si>
  <si>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753620.01.01</t>
  </si>
  <si>
    <t>Базы данных: Проектир. и разработка...: Уч.пос. / С.А.Мартишин.-М.:НИЦ ИНФРА-М,2022.-325 с.(ВО)(п)</t>
  </si>
  <si>
    <t>БАЗЫ ДАННЫХ: ПРОЕКТИРОВАНИЕ И РАЗРАБОТКА ИНФОРМАЦИОННЫХ СИСТЕМ С ИСПОЛЬЗОВАНИЕМ СУБД MYSQL И ЯЗЫКА GO</t>
  </si>
  <si>
    <t>978-5-16-017213-2</t>
  </si>
  <si>
    <t>09.03.01, 09.03.04, 09.03.02, 27.03.04, 38.03.05, 09.03.03, 44.03.01</t>
  </si>
  <si>
    <t>Рекомендовано в качестве учебного пособия для студентов (специалитет, бакалавриат и магистратура) специальностей направлений подготовки: «Информатика и вычислительная техника», «Информационные системы и технологии», «Программная инженерия», «Прикладная математика и информатика», «Управление в технических системах», «Бизнес-информатика», «Педагогическое образование»</t>
  </si>
  <si>
    <t>Декабрь, 2022</t>
  </si>
  <si>
    <t>0122</t>
  </si>
  <si>
    <t>704388.05.01</t>
  </si>
  <si>
    <t>Базы данных: Работа с распред. базами данных...: Уч.пос. / С.А.Мартишин-М.:НИЦ ИНФРА-М,2023-235с(ВО)(П)</t>
  </si>
  <si>
    <t>БАЗЫ ДАННЫХ: РАБОТА С РАСПРЕДЕЛЕННЫМИ БАЗАМИ ДАННЫХ И ФАЙЛОВЫМИ СИСТЕМАМИ НА ПРИМЕРЕ MONGODB И HDFS С ИСПОЛЬЗОВАНИЕМ NODE.JS, EXPRESS.JS, APACHE SPARK И SCALA</t>
  </si>
  <si>
    <t>978-5-16-015133-5</t>
  </si>
  <si>
    <t>09.03.01, 09.03.04, 09.03.02, 01.04.02, 38.04.05, 09.04.03, 09.04.01, 09.04.04, 09.04.02, 01.03.02, 38.03.05, 09.03.03</t>
  </si>
  <si>
    <t>Рекомендовано в качестве учебного пособия для студентов, бакалавров и магистрантов направлений подготовки «Информатика и вычислительная техника», «Информационные системы и технологии», «Программная инженерия», «Прикладная математика и информатика», «Прикладная информатика», «Управление в технических системах», «Бизнес-информатика», «Педагогическое образование» (профиль «Информатика»)</t>
  </si>
  <si>
    <t>719616.04.01</t>
  </si>
  <si>
    <t>Базы данных: Работа с распределенными базами данных...: Уч.пос./ С.А. Мартишин,М. : ИНФРА-М, 2023.-235с(П)</t>
  </si>
  <si>
    <t>978-5-16-015643-9</t>
  </si>
  <si>
    <t>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</si>
  <si>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</si>
  <si>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684990.05.01</t>
  </si>
  <si>
    <t>Базы данных: Уч. / Л.И.Шустова - М.:НИЦ ИНФРА-М,2023 - 304 с.-(СПО)(П)</t>
  </si>
  <si>
    <t>БАЗЫ ДАННЫХ</t>
  </si>
  <si>
    <t>Шустова Л.И., Тараканов О.В.</t>
  </si>
  <si>
    <t>978-5-16-014161-9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</si>
  <si>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</si>
  <si>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322400.09.01</t>
  </si>
  <si>
    <t>Базы данных: Уч. / Л.И.Шустова - М.:НИЦ ИНФРА-М,2023.-304 с.-(ВО: Бакалавриат)(П)</t>
  </si>
  <si>
    <t>978-5-16-010485-0</t>
  </si>
  <si>
    <t>09.03.01, 09.03.04, 09.03.02, 09.04.03, 09.04.01, 09.04.04, 09.04.02</t>
  </si>
  <si>
    <t>Допущено Учебно-методическим объединением по образованию в области прикладной информатики в качестве учебника для студентов, обучающихся по направлению подготовки 09.03.03 «Прикладная информатика» (квалификация (степень) «бакалавр»)</t>
  </si>
  <si>
    <t>107900.12.01</t>
  </si>
  <si>
    <t>Базы данных: Уч.: В 2 кн. Кн.2: Распр. и удал.. / В.П.Агальцов - М.:ИД ФОРУМ,ИНФРА-М,2024-271с(ВО)(П)</t>
  </si>
  <si>
    <t>Агальцов В.П.</t>
  </si>
  <si>
    <t>978-5-8199-0713-9</t>
  </si>
  <si>
    <t>02.03.02, 04.03.02, 02.03.03, 03.03.02, 01.03.04, 09.03.01, 09.03.04, 27.03.02, 02.04.02, 01.03.02, 09.03.03</t>
  </si>
  <si>
    <t>Допущено Учебно-методическим объединением вузов по университетскому политехническому образованию в качестве учебника для студентов высших учебных заведений, обучающихся по направлению 09.03.01 "Информатика и вычислительная техника"</t>
  </si>
  <si>
    <t>Московский государственный технический университет им. Н.Э. Баумана</t>
  </si>
  <si>
    <t>109600.15.01</t>
  </si>
  <si>
    <t>Базы данных: Уч.: В 2 кн.Кн.1: Локальные базы данных / В.П. Агальцов-ФОРУМ: ИНФРА-М,2024-352с.(ВО) (п)</t>
  </si>
  <si>
    <t>БАЗЫ ДАННЫХ, ИЗД.2</t>
  </si>
  <si>
    <t>Агальцов В. П.</t>
  </si>
  <si>
    <t>978-5-8199-0377-3</t>
  </si>
  <si>
    <t>02.03.02, 04.03.02, 03.03.02, 01.03.04, 09.03.01, 09.03.04, 01.03.02, 09.03.03, 45.03.04</t>
  </si>
  <si>
    <t>Допущено Учебно-методическим объединением вузов по университетскому политехническому образованию в качестве учебника для студентов высших учебных заведений, обучающихся по направлению "Информатика и вычислительная техника"</t>
  </si>
  <si>
    <t>0209</t>
  </si>
  <si>
    <t>682831.07.01</t>
  </si>
  <si>
    <t>Базы данных: Уч.пос. / О.Л.Голицына - 4 изд. - М.:Форум, НИЦ ИНФРА-М,2023 - 400 с.-(СПО)(П)</t>
  </si>
  <si>
    <t>БАЗЫ ДАННЫХ, ИЗД.4</t>
  </si>
  <si>
    <t>Голицына О.Л., Максимов Н.В., Попов И.И.</t>
  </si>
  <si>
    <t>978-5-00091-601-8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</si>
  <si>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</si>
  <si>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</si>
  <si>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046850.18.01</t>
  </si>
  <si>
    <t>Базы данных: Уч.пос. / О.Л.Голицына. - 4 изд.-М.:Форум, НИЦ ИНФРА-М,2023.-400 с..-(ВО)(П)</t>
  </si>
  <si>
    <t>978-5-00091-516-5</t>
  </si>
  <si>
    <t>02.03.02, 04.03.02, 02.03.03, 03.03.02, 01.03.04, 09.03.01, 09.03.04, 01.03.02, 09.03.03, 45.03.04</t>
  </si>
  <si>
    <t>Рекомендовано Учебно-методическим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заведений, обучающихся по направлению 09.03.03 «Прикладная информатика»</t>
  </si>
  <si>
    <t>0414</t>
  </si>
  <si>
    <t>114700.11.01</t>
  </si>
  <si>
    <t>Безопасность и упр.доступ. в информ. сист.: Уч.пос. / А.В.Васильков - М.:Форум,НИЦ ИНФРА-М,2022-368с(П)</t>
  </si>
  <si>
    <t>БЕЗОПАСНОСТЬ И УПРАВЛЕНИЕ ДОСТУПОМ В ИНФОРМАЦИОННЫХ СИСТЕМАХ</t>
  </si>
  <si>
    <t>Васильков А.В., Васильков И.А.</t>
  </si>
  <si>
    <t>978-5-91134-360-6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</si>
  <si>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</si>
  <si>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городской университет управления Правительства Москвы</t>
  </si>
  <si>
    <t>0110</t>
  </si>
  <si>
    <t>415300.11.01</t>
  </si>
  <si>
    <t>Бизнес-аналитика средствами Excel: Уч.пос. / Я.Л.Гобарева - 3 изд. - М.:Вуз.уч.,НИЦ ИНФРА-М,2023 - 350с(П)</t>
  </si>
  <si>
    <t>БИЗНЕС-АНАЛИТИКА СРЕДСТВАМИ EXCEL, ИЗД.3</t>
  </si>
  <si>
    <t>Гобарева Я.Л., Городецкая О.Ю., Золотарюк А.В.</t>
  </si>
  <si>
    <t>978-5-9558-0560-3</t>
  </si>
  <si>
    <t>43.02.10, 38.02.01, 38.03.01, 38.03.02, 44.03.01</t>
  </si>
  <si>
    <t>Рекомендовано в качестве учебного пособия для студентов, обучающихся по направлению подготовки 38.03.01 «Экономика» (квалификация (степень) «бакалавр»)</t>
  </si>
  <si>
    <t>0318</t>
  </si>
  <si>
    <t>415300.05.01</t>
  </si>
  <si>
    <t>Бизнес-аналитика средствами Excel: Уч.пос. / Я.Л.Гобарева- 2изд., -М.:Вуз.уч., НИЦ ИНФРА-М,2017-336с</t>
  </si>
  <si>
    <t>БИЗНЕС-АНАЛИТИКА СРЕДСТВАМИ EXCEL, ИЗД.2</t>
  </si>
  <si>
    <t>Финансовый университет при Правительстве РФ</t>
  </si>
  <si>
    <t>978-5-9558-0390-6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</si>
  <si>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«Экономика» (квалификация (степень) — «бакалавр»)</t>
  </si>
  <si>
    <t>0215</t>
  </si>
  <si>
    <t>140500.08.01</t>
  </si>
  <si>
    <t>Бизнес-планирование с исп. прогр. Project Expert: Уч.пос. / В.С.Алиев, - 2 изд.-М.:НИЦ ИНФРА-М,2022.-382с.(П)</t>
  </si>
  <si>
    <t>БИЗНЕС-ПЛАНИРОВАНИЕ С ИСПОЛЬЗОВАНИЕМ ПРОГРАММЫ PROJECT EXPERT (ПОЛНЫЙ КУРС), ИЗД.2</t>
  </si>
  <si>
    <t>Алиев В.С., Чистов Д.В.</t>
  </si>
  <si>
    <t>978-5-16-016867-8</t>
  </si>
  <si>
    <t>43.02.10, 38.02.01, 38.04.01, 38.04.08, 38.04.06, 38.04.02, 38.04.05, 38.03.01, 38.03.05, 38.03.06, 38.03.02, 44.03.01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</si>
  <si>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направлениям подготовки «Финансы и кредит», «Бухгалтерский учет, анализ и аудит», «Налоги и налогообложение»</t>
  </si>
  <si>
    <t>0222</t>
  </si>
  <si>
    <t>140500.07.01</t>
  </si>
  <si>
    <t>Бизнес-планирование с исп. прогр.Project Expert: Уч.пос. /В.С.Алиев-М.:НИЦ ИНФРА-М,2019-352с.(ВО)</t>
  </si>
  <si>
    <t>БИЗНЕС-ПЛАНИРОВАНИЕ С ИСПОЛЬЗОВАНИЕМ ПРОГРАММЫ PROJECT EXPERT (ПОЛНЫЙ КУРС)</t>
  </si>
  <si>
    <t>Алиев В. С., Чистов Д. В.</t>
  </si>
  <si>
    <t>978-5-16-006431-4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</si>
  <si>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специальностям «Финансы и кредит», «Бухгалтерский учет, анализ и аудит», «Налоги и налогообложение»</t>
  </si>
  <si>
    <t>0111</t>
  </si>
  <si>
    <t>081850.11.01</t>
  </si>
  <si>
    <t>Бизнес-планирование: прак. по использовани с исп. Project..: Уч.пос./В.С.Алиев-3изд-ИНФРА-М,2024-287(ВО)(П)</t>
  </si>
  <si>
    <t>БИЗНЕС-ПЛАНИРОВАНИЕ: ПРАКТИКУМ С ИСПОЛЬЗОВАНИЕМ ПРОГРАММЫ PROJECT EXPERT, ИЗД.3</t>
  </si>
  <si>
    <t>Алиев В.С.</t>
  </si>
  <si>
    <t>Высшее образование: Бакалавриат (Финуниверситет)</t>
  </si>
  <si>
    <t>978-5-16-016877-7</t>
  </si>
  <si>
    <t>43.02.10, 38.02.01, 38.03.01, 38.03.02, 44.03.01, 41.03.06</t>
  </si>
  <si>
    <t>Допущено УМО по образованию в области финансов, учета и мировой экономики в качестве учебного пособия для студентов, обучающихся по направлению подготовки «Экономика и управление»</t>
  </si>
  <si>
    <t>0323</t>
  </si>
  <si>
    <t>801484.01.01</t>
  </si>
  <si>
    <t>Введение в анализ данных. Поиск структуры данных...: Уч.пос. / С.Я.Криволапов-М.:НИЦ ИНФРА-М,2024.-177 с.(п)</t>
  </si>
  <si>
    <t>ВВЕДЕНИЕ В АНАЛИЗ ДАННЫХ. ПОИСК СТРУКТУРЫ ДАННЫХ С ПРИМЕНЕНИЕМ ЯЗЫКА PYTHON</t>
  </si>
  <si>
    <t>Криволапов С.Я.</t>
  </si>
  <si>
    <t>Высшее образование (Финансовый университет)</t>
  </si>
  <si>
    <t>978-5-16-019001-3</t>
  </si>
  <si>
    <t>Профессиональное образование</t>
  </si>
  <si>
    <t>41.03.04, 14.04.02, 42.03.05</t>
  </si>
  <si>
    <t>Октябрь, 2023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</si>
  <si>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</si>
  <si>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</si>
  <si>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</t>
  </si>
  <si>
    <t>Гагарина Л.Г., Федоров А.Р., Федоров П.А.</t>
  </si>
  <si>
    <t>978-5-8199-0903-4</t>
  </si>
  <si>
    <t>09.02.07</t>
  </si>
  <si>
    <t>241000.05.01</t>
  </si>
  <si>
    <t>Введение в архитектуру программного обеспечения:Уч.пос. / Л.Г.Гагарина и др.-М.:ИД ФОРУМ, НИЦ ИНФРА-М,2020.-320 с..-(ВО)(П)</t>
  </si>
  <si>
    <t>978-5-8199-0649-1</t>
  </si>
  <si>
    <t>09.03.03</t>
  </si>
  <si>
    <t>Рекомендовано научно-методическим советом Национального исследовательского университета «МИЭТ» в качестве учебного пособия для студентов, обучающихся по направлениям подготовки 09.03.04 «Программная инженерия» (профиль бакалавриата «Программные технологии распределенной обработки информации»), 09.04.04 «Программная инженерия» (программа магистратуры «Программное обеспечение автоматизированных систем и вычислительных комплексов»)</t>
  </si>
  <si>
    <t>441650.14.01</t>
  </si>
  <si>
    <t>Введение в инфокоммуникац. технологии: Уч.пос. / Под ред. Гагариной Л.Г.-2 изд.-М.:НИЦ ИНФРА-М,2024-339с.(ВО)(п)</t>
  </si>
  <si>
    <t>ВВЕДЕНИЕ В ИНФОКОММУНИКАЦИОННЫЕ ТЕХНОЛОГИИ, ИЗД.2</t>
  </si>
  <si>
    <t>Гагарина Л.Г., Кузнецов Г.А., Портнов Е.М. и др.</t>
  </si>
  <si>
    <t>978-5-16-019457-8</t>
  </si>
  <si>
    <t>11.01.05, 09.03.01, 09.03.04, 09.03.02, 11.03.02, 11.04.02, 09.03.03</t>
  </si>
  <si>
    <t>Рекомендовано УМО по образованию в области инфокоммуникационных технологий и систем связи в качестве учебного пособия для студентов высших учебных заведений, обучающихся по направлению подготовки 11.03.02, 11.04.02 «Инфокоммуникационные технологии и системы связи» (квалификации (степени) «бакалавр» и «магистр»)</t>
  </si>
  <si>
    <t>441650.09.01</t>
  </si>
  <si>
    <t>Введение в инфокоммуникационные технол.: Уч.пос./Л.Г.Гагарина-М:ИД ФОРУМ,НИЦ ИНФРА-М,2021-336(ВО)(п)</t>
  </si>
  <si>
    <t>ВВЕДЕНИЕ В ИНФОКОММУНИКАЦИОННЫЕ ТЕХНОЛОГИИ</t>
  </si>
  <si>
    <t>Гагарина Л. Г., Баин А. М., Кузнецов Г. А., Портнов Е. М., Теплова Я. О., Гагарина Л. Г.</t>
  </si>
  <si>
    <t>978-5-8199-0768-9</t>
  </si>
  <si>
    <t>Рекомендовано УМО по образованию в области Инфокоммуникационных технологий и систем связи в качестве учебного пособия для студентов высших учебных заведений, обучающихся по направлению подготовки 210700 — Инфокоммуникационные технологии и системы свя</t>
  </si>
  <si>
    <t>168350.10.01</t>
  </si>
  <si>
    <t>Введение в криптографию: Курс лекций / В.А.Романьков - 2 изд.-М.:Форум, НИЦ ИНФРА-М,2023-240 с.(ВО: Бакалавр.)(П)</t>
  </si>
  <si>
    <t>ВВЕДЕНИЕ В КРИПТОГРАФИЮ, ИЗД.2</t>
  </si>
  <si>
    <t>Романьков В.А.</t>
  </si>
  <si>
    <t>978-5-00091-493-9</t>
  </si>
  <si>
    <t>Курс лекций</t>
  </si>
  <si>
    <t>02.03.02, 02.03.03, 09.03.01, 09.03.04, 09.03.02, 02.03.01, 01.03.02, 09.03.03</t>
  </si>
  <si>
    <t>Рекомендовано студентам высших учебных заведений. Рекомендовано в качестве учебного пособия для студентов высших учебных заведений, обучающихся по направлениям подготовки 01.03.01 «Математика», 02.03.01 «Математика и компьютерные технологии», 01.03.02 «Прикладная математика и информатика» (квалификация (степень) «бакалавр»)</t>
  </si>
  <si>
    <t>Омский государственный университет им. Ф.М. Достоевского</t>
  </si>
  <si>
    <t>0212</t>
  </si>
  <si>
    <t>162800.08.01</t>
  </si>
  <si>
    <t>Введение в методы и алгоритмы принятия реш.: Уч.пос. / В.Г.Дорогов-М.:ИД ФОРУМ, ИНФРА-М,2022-240(ВО)(П)</t>
  </si>
  <si>
    <t>ВВЕДЕНИЕ В МЕТОДЫ И АЛГОРИТМЫ ПРИНЯТИЯ РЕШЕНИЙ</t>
  </si>
  <si>
    <t>Дорогов В.Г., Теплова Я.О.</t>
  </si>
  <si>
    <t>978-5-8199-0486-2</t>
  </si>
  <si>
    <t>09.03.04, 27.03.05, 38.04.01, 38.04.06, 38.04.02, 38.04.03, 38.04.04, 38.04.05, 09.04.04, 38.03.01, 38.03.05, 38.03.06, 38.03.02, 38.03.04, 38.03.03, 41.03.06</t>
  </si>
  <si>
    <t>Рекомендовано Учеб.-метод. Советом Мос. Гос. института электронной техники (технич. универ.) в качестве уч. пос. для студ. вузов, обуч. по напр 230100 "Информатика и ВТ" и по основной образов. прогр. подгот. бакалавров 231000 "Програм. инженерия "</t>
  </si>
  <si>
    <t>656189.03.01</t>
  </si>
  <si>
    <t>Введение в програм. на языке Visual Basic for Applications (VBA): Уч.пос./С.Р.Гуриков-М.:НИЦ ИНФРА-М,2023-317с.(ВО)(П)</t>
  </si>
  <si>
    <t>ВВЕДЕНИЕ В ПРОГРАММИРОВАНИЕ НА ЯЗЫКЕ VISUAL BASIC FOR APPLICATIONS (VBA)</t>
  </si>
  <si>
    <t>Гуриков С.Р.</t>
  </si>
  <si>
    <t>978-5-16-013667-7</t>
  </si>
  <si>
    <t>02.03.02, 04.03.02, 03.03.02, 09.03.01, 09.03.04, 09.03.02, 10.03.01, 10.04.01, 01.03.02, 09.03.03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</si>
  <si>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направлениям подготовки (квалификация (степень) «бакалавр») (протокол №14 от 30.09.2019)</t>
  </si>
  <si>
    <t>Московский технический университет связи и информатики</t>
  </si>
  <si>
    <t>732031.02.01</t>
  </si>
  <si>
    <t>Введение в программир. на яз. Visual Basic for Applications (VBA): Уч.пос. / С.Р.Гуриков-М.:НИЦ ИНФРА-М,2024.-317 с.(СПО)(п)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</si>
  <si>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</si>
  <si>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</si>
  <si>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682842.02.01</t>
  </si>
  <si>
    <t>Введение в программирование на языке Visual C#: Уч.пос. / С.Р.Гуриков-М.:Форум, НИЦ ИНФРА-М,2019-447с(П)</t>
  </si>
  <si>
    <t>ВВЕДЕНИЕ В ПРОГРАММИРОВАНИЕ НА ЯЗЫКЕ VISUAL C#</t>
  </si>
  <si>
    <t>978-5-00091-540-0</t>
  </si>
  <si>
    <t>09.02.03, 09.02.07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</si>
  <si>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</si>
  <si>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656041.07.01</t>
  </si>
  <si>
    <t>Введение в программную инженерию: Уч. / В.А.Антипов и др. - М.:КУРС,НИЦ ИНФРА-М,2024 - 336 с.(п)</t>
  </si>
  <si>
    <t>ВВЕДЕНИЕ В ПРОГРАММНУЮ ИНЖЕНЕРИЮ</t>
  </si>
  <si>
    <t>Антипов В.А., Бубнов А.А., Пылькин А.Н. и др.</t>
  </si>
  <si>
    <t>978-5-906923-22-6</t>
  </si>
  <si>
    <t>09.03.04</t>
  </si>
  <si>
    <t>Рекомендовано Научно-методическим советом «РГРТУ» в качестве учебника для студентов высших учебных заведений, обучающихся по направлению подготовки 09.03.04 «Программная инженерия» (квалификация "бакалавр")</t>
  </si>
  <si>
    <t>058900.14.01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</si>
  <si>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</si>
  <si>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</si>
  <si>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</si>
  <si>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</si>
  <si>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21.02.12, 09.02.03, 40.03.01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</si>
  <si>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</si>
  <si>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</si>
  <si>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113200.10.01</t>
  </si>
  <si>
    <t>Введение в теорию алгоритмич. языков и компиляторов: Уч. пос./ Л.Г. Гагарина. -ФОРУМ,2022.-176с.(ВО) (П)</t>
  </si>
  <si>
    <t>ВВЕДЕНИЕ В ТЕОРИЮ АЛГОРИТМИЧЕСКИХ ЯЗЫКОВ И КОМПИЛЯТОРОВ</t>
  </si>
  <si>
    <t>Гагарина Л. Г., Кокорева Е. В.</t>
  </si>
  <si>
    <t>978-5-8199-0404-6</t>
  </si>
  <si>
    <t>09.03.01, 09.03.04, 09.03.02, 01.03.02, 09.03.03</t>
  </si>
  <si>
    <t>Рек. Науч.-метод. советом Моск. гос. ин-та электронной техники (технич. универ.) в качестве уч. пос. для студ. вузов, обуч. по спец.230105.65 Прогр. обесп. ВТ и автоматизир. сист. по напр. 654600 Информ. и ВТ и напр. подг. бакалавр. и маг. 552800 Инф</t>
  </si>
  <si>
    <t>403350.06.01</t>
  </si>
  <si>
    <t>Введение в теорию целых функций: Уч.пос. / Т.А.Леонтьева - М.:НИЦ ИНФРА-М,2023 - 95 с.(ВО: Магистр.) (о)</t>
  </si>
  <si>
    <t>ВВЕДЕНИЕ В ТЕОРИЮ ЦЕЛЫХ ФУНКЦИЙ</t>
  </si>
  <si>
    <t>Леонтьева Т. А.</t>
  </si>
  <si>
    <t>Высшее образование: Магистратура</t>
  </si>
  <si>
    <t>978-5-16-006242-6</t>
  </si>
  <si>
    <t>02.03.02, 01.04.01, 02.04.02, 01.04.02, 35.04.08, 01.03.01, 02.03.01, 01.03.02</t>
  </si>
  <si>
    <t>Допущено УМО по классическому университетскому образованию в качестве учебного пособия для студентов высших учебных заведений, обучающихся по направлениям ВПО 010400 (Прикладная математика и информатика) и 010300 (Фундаментальная информатика и информационные технологии)</t>
  </si>
  <si>
    <t>Московский государственный университет им. М.В. Ломоносова, факультет вычислительной математики и ки</t>
  </si>
  <si>
    <t>656464.06.01</t>
  </si>
  <si>
    <t>Взаимодействие пользов.с интерфейсами информ..: Уч.пос. /О.Н.Ткаченко -М.:Магистр,НИЦ ИНФРА-М,2022-152с(О)</t>
  </si>
  <si>
    <t>ВЗАИМОДЕЙСТВИЕ ПОЛЬЗОВАТЕЛЯ С ИНТЕРФЕЙСАМИ ИНФОРМАЦИОННЫХ СИСТЕМ ДЛЯ МОБИЛЬНЫХ УСТРОЙСТВ: ИССЛЕДОВАНИЕ ОПЫТА</t>
  </si>
  <si>
    <t>Ткаченко О.Н.</t>
  </si>
  <si>
    <t>Магистр</t>
  </si>
  <si>
    <t>978-5-9776-0457-4</t>
  </si>
  <si>
    <t>42.03.02, 09.03.02, 42.03.05</t>
  </si>
  <si>
    <t>Омский государственный технический университет</t>
  </si>
  <si>
    <t>637288.02.01</t>
  </si>
  <si>
    <t>Визуализация в науч. исследованиях: Уч.пос. / В.И.Корнеев.-М.:НИЦ ИНФРА-М,2023.-400 с.(ВО: Магистр.)(П)</t>
  </si>
  <si>
    <t>ВИЗУАЛИЗАЦИЯ В НАУЧНЫХ ИССЛЕДОВАНИЯХ</t>
  </si>
  <si>
    <t>Корнеев В.И., Гагарина Л.Г., Корнеева М.В.</t>
  </si>
  <si>
    <t>978-5-16-015308-7</t>
  </si>
  <si>
    <t>Профессиональное образование / ВО - Магистратура</t>
  </si>
  <si>
    <t>09.04.04, 09.06.01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</si>
  <si>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09.04.04 «Программная инженерия» (квалификация (степень) «магистр») (протокол № 10 от 12.10.2020)</t>
  </si>
  <si>
    <t>079300.14.01</t>
  </si>
  <si>
    <t>Вычислительная техника: Уч.пос. / Т.Л.Партыка, - 3 изд.-М.:Форум, НИЦ ИНФРА-М,2022.-445 с.(СПО)(П)</t>
  </si>
  <si>
    <t>ВЫЧИСЛИТЕЛЬНАЯ ТЕХНИКА, ИЗД.3</t>
  </si>
  <si>
    <t>Партыка Т.Л., Попов И.И.</t>
  </si>
  <si>
    <t>978-5-00091-510-3</t>
  </si>
  <si>
    <t>09.01.03, 09.01.02, 09.01.01, 09.02.02, 09.02.01, 09.02.03, 09.02.04, 09.02.05, 15.02.09, 11.02.15, 09.02.06, 09.02.07</t>
  </si>
  <si>
    <t>Рекомендовано Мин. обр. и науки РФ в качестве учебника для студентов учреждений среднего пофессионального образования</t>
  </si>
  <si>
    <t>Российский государственный гуманитарный университет РГГУ</t>
  </si>
  <si>
    <t>0312</t>
  </si>
  <si>
    <t>437600.06.01</t>
  </si>
  <si>
    <t>Геометрическое моделирование: Уч.пос. / Н.Н.Голованов-М.:КУРС, НИЦ ИНФРА-М,2024.-400 с.(п)</t>
  </si>
  <si>
    <t>ГЕОМЕТРИЧЕСКОЕ МОДЕЛИРОВАНИЕ</t>
  </si>
  <si>
    <t>Голованов Н.Н.</t>
  </si>
  <si>
    <t>978-5-905554-76-6</t>
  </si>
  <si>
    <t>09.03.01, 09.04.01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</si>
  <si>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высших учебных заведений, обучающихся по направлениям 09.03.01 "Информатика и вычислительная техника" (уровень бакалавриата), 09.04.01 "Информатика и вычислительная техника" (уровень магистратуры)</t>
  </si>
  <si>
    <t>C3D Лабс</t>
  </si>
  <si>
    <t>680652.04.01</t>
  </si>
  <si>
    <t>Данные: хранение и обработка: Уч. / Э.Г.Дадян - М.:НИЦ ИНФРА-М,2023- 205 с.-(ВО: Бакалавр.)(П)</t>
  </si>
  <si>
    <t>ДАННЫЕ: ХРАНЕНИЕ И ОБРАБОТКА</t>
  </si>
  <si>
    <t>978-5-16-016447-2</t>
  </si>
  <si>
    <t>02.03.02, 01.03.04, 09.03.01, 09.03.04, 22.03.01, 38.04.05, 01.03.02, 38.03.05, 09.03.03</t>
  </si>
  <si>
    <t>Рекомендовано Межрегиональным учебно-методическим советом профессионального образования в качестве учебника для реализации образовательных программ высшего образования по направлениям подготовки бакалавриата (протокол № 9 от 13.05.2019)</t>
  </si>
  <si>
    <t>719946.02.01</t>
  </si>
  <si>
    <t>Данные: хранение и обработка: Уч. / Э.Г.Дадян-М.:НИЦ ИНФРА-М,2023.-205 с..-(СПО)(П)</t>
  </si>
  <si>
    <t>978-5-16-015663-7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</si>
  <si>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</si>
  <si>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109100.12.01</t>
  </si>
  <si>
    <t>Защита информации в персонал. компьютере: Уч.пос. / Н.З.Емельянова-2изд.-М.:Форум, НИЦ ИНФРА-М,2023-368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</si>
  <si>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</si>
  <si>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</si>
  <si>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</si>
  <si>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09.02.02, 09.02.01, 09.02.03, 09.02.04, 09.02.05, 10.02.02, 10.02.03, 10.02.01, 09.03.01, 10.02.04, 10.02.05, 09.02.06, 09.02.07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</si>
  <si>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</si>
  <si>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энергетический институт</t>
  </si>
  <si>
    <t>684714.07.01</t>
  </si>
  <si>
    <t>Защита информации и информ. безопасность: Уч.пос. / Ю.Н.Сычев - М.:НИЦ ИНФРА-М,2023 - 201 с.(ВО)(п)</t>
  </si>
  <si>
    <t>ЗАЩИТА ИНФОРМАЦИИ И ИНФОРМАЦИОННАЯ БЕЗОПАСНОСТЬ</t>
  </si>
  <si>
    <t>Сычев Ю.Н.</t>
  </si>
  <si>
    <t>978-5-16-018505-7</t>
  </si>
  <si>
    <t>10.03.01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</si>
  <si>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направлению подготовки 10.03.01 «Информационная безопасность»¶(квалификация (степень) «бакалавр») (протокол № 8 от 22.06.2020)</t>
  </si>
  <si>
    <t>429250.09.01</t>
  </si>
  <si>
    <t>Защита информации: Уч.пос. / А.П.Жук- 3 изд.-М.:ИЦ РИОР, НИЦ ИНФРА-М,2023.-400 с.(ВО)(п)</t>
  </si>
  <si>
    <t>ЗАЩИТА ИНФОРМАЦИИ, ИЗД.3</t>
  </si>
  <si>
    <t>Жук А.П., Жук Е.П., Лепешкин О.М. и др.</t>
  </si>
  <si>
    <t>978-5-369-01759-3</t>
  </si>
  <si>
    <t>02.03.02, 04.03.02, 03.03.02, 46.03.02, 09.03.01, 10.03.01, 27.03.02, 10.04.01, 01.04.04, 01.04.02, 27.04.03, 01.03.02</t>
  </si>
  <si>
    <t>Северо-Кавказский федеральный университет</t>
  </si>
  <si>
    <t>429250.05.01</t>
  </si>
  <si>
    <t>Защита информации: Уч.пос. / А.П.Жук и др. - 2 изд. - М.:ИЦ РИОР, НИЦ ИНФРА-М,2018 - 392 с.(ВО)(П)</t>
  </si>
  <si>
    <t>ЗАЩИТА ИНФОРМАЦИИ, ИЗД.2</t>
  </si>
  <si>
    <t>Жук А. П., Жук Е. П., Лепешкин О. М., Тимошкин А. И.</t>
  </si>
  <si>
    <t>Высшее образование: Бакалавриат и магистратура</t>
  </si>
  <si>
    <t>978-5-369-01378-6</t>
  </si>
  <si>
    <t>Рекомендовано УМО по образованию в области информационных технологий и систем связи в качестве учебного пособия для студентов высших учебных заведений, обучающихся по направлению подготовки 210700 — Инфокоммуникационные технологии и системы связи ква</t>
  </si>
  <si>
    <t>157350.09.01</t>
  </si>
  <si>
    <t>Имитационное моделир. экономич. процессов: Уч.пос. / Н.Н.Лычкина-М.:НИЦ ИНФРА-М,2024.-254 с.(ВО)(п)</t>
  </si>
  <si>
    <t>ИМИТАЦИОННОЕ МОДЕЛИРОВАНИЕ ЭКОНОМИЧЕСКИХ ПРОЦЕССОВ</t>
  </si>
  <si>
    <t>Лычкина Н. Н.</t>
  </si>
  <si>
    <t>978-5-16-018933-8</t>
  </si>
  <si>
    <t>38.04.01, 38.04.08, 38.04.02, 38.04.04, 09.04.03, 38.05.01, 38.03.01, 09.03.03, 38.03.02, 38.03.04</t>
  </si>
  <si>
    <t>Рекомендуется Государственным образовательным учреждением высшего профессионального образования Национальным исследовательским университетом «Высшая школа экономики» в качестве учебного пособия для студентов высших учебных заведений, обучающихся по направлению подготовки «Прикладная информатика» (регистрационный номер рецензии 1340 от 01.04.2011 МГУП)</t>
  </si>
  <si>
    <t>468300.07.01</t>
  </si>
  <si>
    <t>Имитационное моделирование объектов.: Уч.пос./Н.Б.Кобелев-М.:КУРС,НИЦ ИНФРА-М,2019-192с(Бакалавр)(п)</t>
  </si>
  <si>
    <t>ИМИТАЦИОННОЕ МОДЕЛИРОВАНИЕ ОБЪЕКТОВ С ХАОТИЧЕСКИМИ ФАКТОРАМИ</t>
  </si>
  <si>
    <t>Кобелев Н.Б.</t>
  </si>
  <si>
    <t>978-5-906818-20-1</t>
  </si>
  <si>
    <t>15.02.07, 02.03.03, 01.03.04, 09.04.03, 38.03.05</t>
  </si>
  <si>
    <t>Рекомендовано в качестве учебного пособия для студентов высших учебных заведений, обучающихся по направлению подготовки 38.03.05 «Бизнес-информатика»</t>
  </si>
  <si>
    <t>Российский государственный аграрный университет - МСХА им. К.А. Тимирязева</t>
  </si>
  <si>
    <t>666391.06.01</t>
  </si>
  <si>
    <t>Имитационные исслед.в среде моделир.GPSS STUDIO: Уч.пос. / В.В.Девятков - М.:Вуз.уч., НИЦ ИНФРА-М,2022 - 283с.(П)</t>
  </si>
  <si>
    <t>ИМИТАЦИОННЫЕ ИССЛЕДОВАНИЯ В СРЕДЕ МОДЕЛИРОВАНИЯ GPSS STUDIO</t>
  </si>
  <si>
    <t>Девятков В.В., Девятков Т.В., Федотов М.В. и др.</t>
  </si>
  <si>
    <t>978-5-9558-0595-5</t>
  </si>
  <si>
    <t>02.03.03, 01.03.04, 09.04.03, 11.04.02, 27.04.03, 09.04.04, 09.04.02, 27.03.04</t>
  </si>
  <si>
    <t>ЭЛИНА - КОМПЬЮТЕР ООО</t>
  </si>
  <si>
    <t>792147.01.01</t>
  </si>
  <si>
    <t>Интегрир. информ. системы управ. объектами...: Уч.пос. / Под ред. Григорьев А.А.-М.:НИЦ ИНФРА-М,2024.-273 с(П)</t>
  </si>
  <si>
    <t>ИНТЕГРИРОВАННЫЕ ИНФОРМАЦИОННЫЕ СИСТЕМЫ УПРАВЛЕНИЯ ОБЪЕКТАМИ. КОРПОРАТИВНЫЕ ИНФОРМАЦИОННЫЕ СИСТЕМЫ</t>
  </si>
  <si>
    <t>Григорьев А.А., Исаев Е.А., Корнилов В.В. и др.</t>
  </si>
  <si>
    <t>978-5-16-018103-5</t>
  </si>
  <si>
    <t>09.03.01, 09.03.02, 38.03.05, 09.03.03, 38.03.02</t>
  </si>
  <si>
    <t>Август, 2023</t>
  </si>
  <si>
    <t>735531.03.01</t>
  </si>
  <si>
    <t>Интегрированные сис. упр. объектами...: Уч.пос. / Под ред. Григорьева А.А. - М.:НИЦ ИНФРА-М,2023 - 222 с.(П)</t>
  </si>
  <si>
    <t>ИНТЕГРИРОВАННЫЕ СИСТЕМЫ УПРАВЛЕНИЯ ОБЪЕКТАМИ. ВСТРОЕННЫЕ ИНФОРМАЦИОННЫЕ СИСТЕМЫ.</t>
  </si>
  <si>
    <t>Григорьев А.А., Исаев Е.А., Моргунов А.Ф. и др.</t>
  </si>
  <si>
    <t>978-5-16-016511-0</t>
  </si>
  <si>
    <t>09.03.01, 38.04.05, 09.04.03, 09.04.01, 01.03.02, 38.03.05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</si>
  <si>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 направлениям подготовки и направлению подготовки  ¶09.03.02 «Информационные системы и технологии» (квалификация (степень) «бакалавр») (протокол № 4 от 21.04.2021)</t>
  </si>
  <si>
    <t>689655.06.01</t>
  </si>
  <si>
    <t>Интеллектуальные информ. сис. и методы искусств. интеллекта: Уч. / А.В.Андрейчиков-М.:НИЦ ИНФРА-М,2024.-530 с.(П)</t>
  </si>
  <si>
    <t>ИНТЕЛЛЕКТУАЛЬНЫЕ ИНФОРМАЦИОННЫЕ СИСТЕМЫ И МЕТОДЫ ИСКУССТВЕННОГО ИНТЕЛЛЕКТА</t>
  </si>
  <si>
    <t>Андрейчиков А.В., Андрейчикова О.Н.</t>
  </si>
  <si>
    <t>978-5-16-014883-0</t>
  </si>
  <si>
    <t>09.03.02, 27.04.07, 09.04.03, 24.04.04, 24.04.01, 24.04.05, 24.04.02, 23.04.02, 23.04.03, 23.04.01, 27.04.03, 27.04.04, 15.04.04, 15.04.06, 27.04.05, 27.04.06, 09.04.01, 09.04.02, 08.04.01, 00.00.00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</si>
  <si>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основным образовательным программам высшего образования по инженерному делу, технологиям и техническим наукам по направлениям подготовки магистратуры (протокол № 10 от 12.10.2020)</t>
  </si>
  <si>
    <t>Российский университет транспорта (МИИТ)</t>
  </si>
  <si>
    <t>700759.03.01</t>
  </si>
  <si>
    <t>Интеллектуальные цифр. технологии концептуал. проектир.: Уч. / А.В.Андрейчиков-М.:НИЦ ИНФРА-М,2023.-511с</t>
  </si>
  <si>
    <t>ИНТЕЛЛЕКТУАЛЬНЫЕ ЦИФРОВЫЕ ТЕХНОЛОГИИ КОНЦЕПТУАЛЬНОГО ПРОЕКТИРОВАНИЯ ИНЖЕНЕРНЫХ РЕШЕНИЙ</t>
  </si>
  <si>
    <t>978-5-16-014884-7</t>
  </si>
  <si>
    <t>09.04.03, 15.04.01, 15.04.02, 23.04.02, 27.04.03, 27.04.04, 15.04.04, 15.04.06, 27.04.05, 09.04.04, 09.04.02, 15.05.01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</si>
  <si>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27.04.04 «Управление в технических системах», 09.04.01 «Информатика и вычислительная техника», 15.04.01 «Машиностроение» (квалификация (степень) «магистр») (протокол № 8 от 29.04.2019)</t>
  </si>
  <si>
    <t>168450.09.01</t>
  </si>
  <si>
    <t>Интеллектуальный анализ времен. рядов: Уч. пос./Н.Г.Ярушкина - М.: ИД ФОРУМ: ИНФРА-М, 2023-160с.(ВО) (п)</t>
  </si>
  <si>
    <t>ИНТЕЛЛЕКТУАЛЬНЫЙ АНАЛИЗ ВРЕМЕННЫХ РЯДОВ</t>
  </si>
  <si>
    <t>Ярушкина Н.Г., Афанасьева Т.В., Перфильева И.Г.</t>
  </si>
  <si>
    <t>978-5-8199-0496-1</t>
  </si>
  <si>
    <t>02.03.02, 04.03.02, 03.03.02, 09.03.02, 45.04.04, 01.04.02, 15.04.04, 01.03.02</t>
  </si>
  <si>
    <t>Рекомендовано Учебно-метод. объединением по образованию в области прикладной информатики в качестве уч. пос. студентов вузов, обучающихся по направлению "Прикладная информатика"</t>
  </si>
  <si>
    <t>Ульяновский государственный технический университет</t>
  </si>
  <si>
    <t>455100.12.01</t>
  </si>
  <si>
    <t>Интернет вещей. Исслед.и область применения: Моногр. /Е.П.Зараменских -М.:НИЦ ИНФРА-М,2024-188с.(П)</t>
  </si>
  <si>
    <t>ИНТЕРНЕТ ВЕЩЕЙ. ИССЛЕДОВАНИЯ И ОБЛАСТЬ ПРИМЕНЕНИЯ</t>
  </si>
  <si>
    <t>Зараменских Е.П., Артемьев И.Е.</t>
  </si>
  <si>
    <t>978-5-16-011476-7</t>
  </si>
  <si>
    <t>09.03.01</t>
  </si>
  <si>
    <t>708389.01.01</t>
  </si>
  <si>
    <t>Интернет-технологии: Уч.пос. / С.Р.Гуриков - 2 изд. - М.:НИЦ ИНФРА-М,2022 - 174 с.-(СПО)(о)</t>
  </si>
  <si>
    <t>ИНТЕРНЕТ-ТЕХНОЛОГИИ, ИЗД.2</t>
  </si>
  <si>
    <t>978-5-16-017117-3</t>
  </si>
  <si>
    <t>00.03.03, 09.02.02, 09.02.01, 09.02.03, 09.02.04, 09.02.05, 10.02.02, 10.02.03, 10.02.01, 10.02.04, 10.02.05, 09.02.06, 09.02.07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</si>
  <si>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</si>
  <si>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319500.08.01</t>
  </si>
  <si>
    <t>Интернет-технологии: Уч.пос. / С.Р.Гуриков - 2 изд. - М.:НИЦ ИНФРА-М,2023 - 174 с.-(ВО: Бакалавриат)(П)</t>
  </si>
  <si>
    <t>978-5-16-016517-2</t>
  </si>
  <si>
    <t>09.03.01, 09.03.04, 09.03.02, 10.03.01, 10.04.01, 09.04.03, 09.04.01, 09.04.04, 09.04.02, 10.05.04, 10.05.01, 10.05.03, 10.05.05, 10.05.02, 09.03.03, 09.05.01, 10.05.07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</si>
  <si>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основным образовательным программам высшего образования по направлениям подготовки бакалавриата (протокол № 7 от 22.09.2021)</t>
  </si>
  <si>
    <t>319500.05.01</t>
  </si>
  <si>
    <t>Интернет-технологии: Уч.пос. / С.Р.Гуриков - М.:Форум,НИЦ ИНФРА-М,2019-184 с.-(ВО: Бакалавриат)(о)</t>
  </si>
  <si>
    <t>ИНТЕРНЕТ-ТЕХНОЛОГИИ</t>
  </si>
  <si>
    <t>978-5-00091-448-9</t>
  </si>
  <si>
    <t>Рекомендовано в качестве учебного пособия для студентов высших учебных заведений, обучающихся по направлению подготовки 09.03.01 «Информатика и вычислительная техника» (квалификация (степень) «бакалавр»)</t>
  </si>
  <si>
    <t>069000.12.01</t>
  </si>
  <si>
    <t>Информатика для экономистов: Уч. / В.М.Матюшок -2 изд.-М.:НИЦ ИНФРА-М,2023-460 с.(ВО: Бакалавр.)(П)</t>
  </si>
  <si>
    <t>ИНФОРМАТИКА ДЛЯ ЭКОНОМИСТОВ, ИЗД.2</t>
  </si>
  <si>
    <t>Матюшок В. М.</t>
  </si>
  <si>
    <t>978-5-16-009152-5</t>
  </si>
  <si>
    <t>09.03.02, 38.03.01, 38.03.02</t>
  </si>
  <si>
    <t>Допущено Министерством образования и науки Российской Федерации в качестве учебника для студентов высших учебных заведений, обучающихся по направлению 38.03.01 (080100) "Экономика» и 38.03.02 (080200) «Менеджмент»</t>
  </si>
  <si>
    <t>Российский университет дружбы народов</t>
  </si>
  <si>
    <t>075400.11.01</t>
  </si>
  <si>
    <t>Информатика для экономистов: Уч. / В.П.Агальцов - М.:ИД Форум, НИЦ ИНФРА-М,2022 - 448 с.(ВО)(П)</t>
  </si>
  <si>
    <t>ИНФОРМАТИКА ДЛЯ ЭКОНОМИСТОВ</t>
  </si>
  <si>
    <t>Агальцов В.П., Титов В.М.</t>
  </si>
  <si>
    <t>978-5-8199-0274-5</t>
  </si>
  <si>
    <t>01.03.02, 38.03.01, 38.03.05, 38.03.02, 38.03.03</t>
  </si>
  <si>
    <t>Допущено УМО по образованию в области прикладной информатики в качестве учебника для студентов высших учебных заведений, обучающихся по специальности "Прикладная информатика (по областям)" и другим экономическим специальностям</t>
  </si>
  <si>
    <t>0106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</si>
  <si>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</si>
  <si>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</si>
  <si>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</t>
  </si>
  <si>
    <t>Плотникова Н.Г.</t>
  </si>
  <si>
    <t>978-5-369-01308-3</t>
  </si>
  <si>
    <t>23.02.04, 27.02.03, 08.02.08, 15.02.10, 12.02.10, 00.02.03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</si>
  <si>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</si>
  <si>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</si>
  <si>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694877.04.01</t>
  </si>
  <si>
    <t>Информатика и информац.-коммуникац. технологии в...: Уч.пос. / В.Н.Шитов-М.:НИЦ ИНФРА-М,2024.-247 с.(П)</t>
  </si>
  <si>
    <t>ИНФОРМАТИКА И ИНФОРМАЦИОННО-КОММУНИКАЦИОННЫЕ ТЕХНОЛОГИИ В ПРОФЕССИОНАЛЬНОЙ ДЕЯТЕЛЬНОСТИ</t>
  </si>
  <si>
    <t>Шитов В.Н.</t>
  </si>
  <si>
    <t>978-5-16-014647-8</t>
  </si>
  <si>
    <t>43.02.08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</si>
  <si>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</si>
  <si>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Саратовский государственный медицинский университет им. В.И. Разумовского Минздрава России</t>
  </si>
  <si>
    <t>363600.08.01</t>
  </si>
  <si>
    <t>Информатика и лингвистика: Уч.пос. / Т.М.Волосатова-М.:НИЦ ИНФРА-М,2023.-196 с.(ВО: Бакалавриат)(П)</t>
  </si>
  <si>
    <t>ИНФОРМАТИКА И ЛИНГВИСТИКА</t>
  </si>
  <si>
    <t>Волосатова Т.М., Чичварин Н.В.</t>
  </si>
  <si>
    <t>978-5-16-010977-0</t>
  </si>
  <si>
    <t>09.03.01, 10.03.01</t>
  </si>
  <si>
    <t>Рекомендовано в качестве учебного пособия для студентов высших учебных заведений, обучающихся по направлениям подготовки 09.03.01 «Информатика и вычислительная техника», 10.03.01 «Информационная безопасность» (квалификация (степень) «бакалавр»)</t>
  </si>
  <si>
    <t>705965.08.01</t>
  </si>
  <si>
    <t>Информатика, автоматизир. информац. технологии и сис.: Уч. / В.А.Гвоздева -М.:ИД ФОРУМ, 2023-542с(П)</t>
  </si>
  <si>
    <t>ИНФОРМАТИКА, АВТОМАТИЗИРОВАННЫЕ ИНФОРМАЦИОННЫЕ ТЕХНОЛОГИИ И СИСТЕМЫ</t>
  </si>
  <si>
    <t>978-5-8199-0877-8</t>
  </si>
  <si>
    <t>38.02.07, 09.02.07, 00.02.03</t>
  </si>
  <si>
    <t>23</t>
  </si>
  <si>
    <t>138800.16.01</t>
  </si>
  <si>
    <t>Информатика, автоматизированные информ. техн..: Уч. / В.А.Гвоздева-М.:ФОРУМ:ИНФРА-М,2023-542с(СПО)</t>
  </si>
  <si>
    <t>978-5-8199-0856-3</t>
  </si>
  <si>
    <t>10.02.04, 11.02.15, 11.02.16, 10.02.05, 09.02.07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</si>
  <si>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</si>
  <si>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136900.06.01</t>
  </si>
  <si>
    <t>Информатика. Курс лекций. Уч.пос.: уч.пос. / Е.Л.Федотова-М.:ИД Форум, ИНФРА-М Издательский Дом,2018.-480 с..-(ВО)(П 7Б</t>
  </si>
  <si>
    <t>ИНФОРМАТИКА</t>
  </si>
  <si>
    <t>Федотова Е. Л., Федотов А. А.</t>
  </si>
  <si>
    <t>978-5-8199-0448-0</t>
  </si>
  <si>
    <t>00.05.03, 00.03.03, 15.02.09</t>
  </si>
  <si>
    <t>775954.01.01</t>
  </si>
  <si>
    <t>Информатика. Практикум: Уч.пос. / С.Г.Канакова-М.:НИЦ ИНФРА-М,2023.-363 с..(СПО)(п)</t>
  </si>
  <si>
    <t>ИНФОРМАТИКА. ПРАКТИКУМ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</si>
  <si>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</si>
  <si>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</si>
  <si>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</si>
  <si>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</si>
  <si>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0123</t>
  </si>
  <si>
    <t>718985.06.01</t>
  </si>
  <si>
    <t>Информатика: Уч. / В.Н.Яшин - М.:НИЦ ИНФРА-М,2024 - 522 с.-(ВО: Бакалавриат)(П)</t>
  </si>
  <si>
    <t>Яшин В.Н., Колоденкова А.Е.</t>
  </si>
  <si>
    <t>978-5-16-015924-9</t>
  </si>
  <si>
    <t>00.05.03, 00.03.03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</si>
  <si>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основным образовательным программам высшего образования по направлениям подготовки бакалавриата (протокол № 10 от 12.10.2020)</t>
  </si>
  <si>
    <t>Самарский государственный технический университет</t>
  </si>
  <si>
    <t>070600.21.01</t>
  </si>
  <si>
    <t>Информатика: Уч. / И.И.Сергеева и др. - 2 изд. - М.:ИД Форум, НИЦ ИНФРА-М,2022 - 384 с.-(СПО)(П)</t>
  </si>
  <si>
    <t>ИНФОРМАТИКА, ИЗД.2</t>
  </si>
  <si>
    <t>Сергеева И.И., Музалевская А.А., Тарасова Н.В.</t>
  </si>
  <si>
    <t>978-5-8199-0775-7</t>
  </si>
  <si>
    <t>26.02.05, 26.02.06, 23.02.04, 27.02.03, 31.02.01, 10.02.05, 00.02.03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</si>
  <si>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</si>
  <si>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0211</t>
  </si>
  <si>
    <t>231900.09.01</t>
  </si>
  <si>
    <t>Информатика: Уч. / С.Р.Гуриков - 2 изд. - М.:НИЦ ИНФРА-М,2023 - 566 с.-(ВО: Бакалавриат)(П)</t>
  </si>
  <si>
    <t>978-5-16-018692-4</t>
  </si>
  <si>
    <t>00.05.03, 00.03.03, 26.02.04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</si>
  <si>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программам бакалавриата  (протокол № 8 от 22.06.2020)</t>
  </si>
  <si>
    <t>682875.04.01</t>
  </si>
  <si>
    <t>Информатика: Уч. / С.Р.Гуриков - 2 изд. - М.:НИЦ ИНФРА-М,2024 - 566 с.-(СПО)(П)</t>
  </si>
  <si>
    <t>978-5-16-016575-2</t>
  </si>
  <si>
    <t>26.02.04, 00.02.03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</si>
  <si>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</si>
  <si>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ПО2</t>
  </si>
  <si>
    <t>231900.04.01</t>
  </si>
  <si>
    <t>Информатика: Уч. / С.Р.Гуриков - М.:Форум,НИЦ ИНФРА-М,2018 - 463 с.-(ВО: Бакалавриат)(П)</t>
  </si>
  <si>
    <t>978-5-00091-699-5</t>
  </si>
  <si>
    <t>Рекомендовано в качестве учебника для студентов образовательных учреждений высшего образования</t>
  </si>
  <si>
    <t>136900.08.01</t>
  </si>
  <si>
    <t>Информатика: Уч.пос. / Е.Л.Федотова - 2 изд. - М.:НИЦ ИНФРА-М,2024 - 453 с.(ВО: Бакалавр.)(П)</t>
  </si>
  <si>
    <t>Федотова Е.Л.</t>
  </si>
  <si>
    <t>978-5-16-016625-4</t>
  </si>
  <si>
    <t>Рекомендовано Учебно-методическим советом Национального исследовательского университета «МИЭТ» в качестве учебного пособия для студентов, обучающихся по направлению подготовки бакалавров</t>
  </si>
  <si>
    <t>093550.04.01</t>
  </si>
  <si>
    <t>Информатика:Шпаргалка-М.:ИЦ РИОР, НИЦ ИНФРА-М,2017.-113 с..-(Шпаргалка [отрывная])(О. КБС)</t>
  </si>
  <si>
    <t>Шпаргалка [отрывная]</t>
  </si>
  <si>
    <t>978-5-369-00251-3</t>
  </si>
  <si>
    <t>Шпаргалка</t>
  </si>
  <si>
    <t>00.05.03, 00.03.03, 00.02.03</t>
  </si>
  <si>
    <t>209700.17.01</t>
  </si>
  <si>
    <t>Информационная безоп. и защита инфор.: Уч.пос. / Е.К.Баранова - 4 изд. - М.:ИЦ РИОР,Инфра-М,2024 - 336с(П)</t>
  </si>
  <si>
    <t>ИНФОРМАЦИОННАЯ БЕЗОПАСНОСТЬ И ЗАЩИТА ИНФОРМАЦИИ, ИЗД.4</t>
  </si>
  <si>
    <t>978-5-369-01761-6</t>
  </si>
  <si>
    <t>46.03.02, 10.03.01, 10.04.01, 38.04.05, 27.04.03, 10.05.04, 10.05.02, 38.03.05, 09.03.03, 10.02.04, 10.02.05</t>
  </si>
  <si>
    <t>Допущено Учебно-методическим объединением по образованию в области прикладной информатики в качестве учебного пособия для студентов, обучающихся по направлению «Прикладная информатика"</t>
  </si>
  <si>
    <t>0418</t>
  </si>
  <si>
    <t>706824.05.01</t>
  </si>
  <si>
    <t>Информационная безоп. и защита информации..: Моногр. / И.С.Клименко - М.:НИЦ ИНФРА-М,2024 - 180с(О)</t>
  </si>
  <si>
    <t>ИНФОРМАЦИОННАЯ БЕЗОПАСНОСТЬ И ЗАЩИТА ИНФОРМАЦИИ: МОДЕЛИ И МЕТОДЫ УПРАВЛЕНИЯ</t>
  </si>
  <si>
    <t>Клименко И.С.</t>
  </si>
  <si>
    <t>978-5-16-015149-6</t>
  </si>
  <si>
    <t>10.04.01, 38.04.05, 27.04.03, 10.06.01</t>
  </si>
  <si>
    <t>Северо-Кавказский федеральный университет, ф-л в г. Пятигорске</t>
  </si>
  <si>
    <t>085430.20.01</t>
  </si>
  <si>
    <t>Информационная безоп. комп. систем и сетей: Уч.пос. / В.Ф.Шаньгин - М.:ИД ФОРУМ, НИЦ ИНФРА-М,2023-416с</t>
  </si>
  <si>
    <t>ИНФОРМАЦИОННАЯ БЕЗОПАСНОСТЬ КОМПЬЮТЕРНЫХ СИСТЕМ И СЕТЕЙ</t>
  </si>
  <si>
    <t>Шаньгин В. Ф.</t>
  </si>
  <si>
    <t>978-5-8199-0754-2</t>
  </si>
  <si>
    <t>09.01.03, 09.01.02, 09.01.01, 09.02.02, 09.02.01, 09.02.03, 09.02.04, 09.02.05, 09.02.06, 09.02.07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</si>
  <si>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</si>
  <si>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745644.01.01</t>
  </si>
  <si>
    <t>Информационная безоп. конструкций ЭВМ и сис.: Уч.пос. / Е.В.Глинская-М.:НИЦ ИНФРА-М,2021.-118 с.(ВО)(О)</t>
  </si>
  <si>
    <t>ИНФОРМАЦИОННАЯ БЕЗОПАСНОСТЬ КОНСТРУКЦИЙ ЭВМ И СИСТЕМ</t>
  </si>
  <si>
    <t>Глинская Е.В., Чичварин Н.В.</t>
  </si>
  <si>
    <t>978-5-16-016536-3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</si>
  <si>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укрупненной группе специальностей 10.05.00 «Информационная безопасность»  (протокол № 8 от 22.06.2020)</t>
  </si>
  <si>
    <t>35</t>
  </si>
  <si>
    <t>209700.05.01</t>
  </si>
  <si>
    <t>Информационная безоп.и защита..: Уч.пос. /Е.К.Баранова -3изд. -М.:ИЦ РИОР,НИЦ ИНФРА-М,2017-322(ВО)(П)</t>
  </si>
  <si>
    <t>ИНФОРМАЦИОННАЯ БЕЗОПАСНОСТЬ И ЗАЩИТА ИНФОРМАЦИИ, ИЗД.3</t>
  </si>
  <si>
    <t>978-5-369-01450-9</t>
  </si>
  <si>
    <t>0316</t>
  </si>
  <si>
    <t>361300.06.01</t>
  </si>
  <si>
    <t>Информационная безоп.констр.ЭВМ...: Уч.пос./Е.В.Глинская-М.:НИЦ ИНФРА-М,2023-118с.(ВО:Бакалавр.)(о)</t>
  </si>
  <si>
    <t>ГлинскаяЕ.В., ЧичваринН.В.</t>
  </si>
  <si>
    <t>978-5-16-010961-9</t>
  </si>
  <si>
    <t>02.03.02, 46.03.02, 10.04.01, 27.04.03, 10.05.01, 09.03.03</t>
  </si>
  <si>
    <t>Рекомендовано в качестве учебного пособия для студентов высших учебных заведений, обучающихся по направлениям подготовки 09.03.03 «Прикладная информатика» и 10.03.01 «Информационная безопасность» (квалификация (степень) «бакалавр»)</t>
  </si>
  <si>
    <t>116800.10.98</t>
  </si>
  <si>
    <t>Информационная безопасность предпр.: Уч.пос. / Н.В.Гришина, - 2 изд.-М.:Форум, НИЦ ИНФРА-М,2017-239с</t>
  </si>
  <si>
    <t>ИНФОРМАЦИОННАЯ БЕЗОПАСНОСТЬ ПРЕДПРИЯТИЯ, ИЗД.2</t>
  </si>
  <si>
    <t>Гришина Н.В.</t>
  </si>
  <si>
    <t>978-5-00091-007-8</t>
  </si>
  <si>
    <t>46.03.02, 09.03.03</t>
  </si>
  <si>
    <t>Рекомендовано Учебно-методическим объединением вузов Российской Федерации по образованию в области историко-архивоведения в качестве учебного пособия для студентов высших учебных заведений, обучающихся по направлению подготовки 10.03.01 «Информационная безопасность» (квалификация (степень) «бакалавр»)</t>
  </si>
  <si>
    <t>690120.03.01</t>
  </si>
  <si>
    <t>Информационная безопасность...: Уч.пос. / Е.К.Баранова -М.:ИЦ РИОР, НИЦ ИНФРА-М,2022.-236 с.(П)</t>
  </si>
  <si>
    <t>ИНФОРМАЦИОННАЯ БЕЗОПАСНОСТЬ. ИСТОРИЯ СПЕЦИАЛЬНЫХ МЕТОДОВ КРИПТОГРАФИЧЕСКОЙ ДЕЯТЕЛЬНОСТИ</t>
  </si>
  <si>
    <t>Баранова Е.К., Бабаш А.В., Ларин Д.А.</t>
  </si>
  <si>
    <t>978-5-369-01788-3</t>
  </si>
  <si>
    <t>10.03.01, 10.04.01, 38.04.05, 27.04.03, 38.03.05, 09.03.03</t>
  </si>
  <si>
    <t>039080.20.01</t>
  </si>
  <si>
    <t>Информационная безопасность: Уч.пос. / Т.Л.Партыка - 5 изд. - М.:Форум, НИЦ ИНФРА-М,2023 - 432с(П)</t>
  </si>
  <si>
    <t>ИНФОРМАЦИОННАЯ БЕЗОПАСНОСТЬ, ИЗД.5</t>
  </si>
  <si>
    <t>Партыка Т. Л., Попов И. И.</t>
  </si>
  <si>
    <t>978-5-00091-473-1</t>
  </si>
  <si>
    <t>09.02.02, 09.02.01, 09.02.03, 09.02.04, 09.02.05, 10.02.02, 10.02.03, 10.02.01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</si>
  <si>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</si>
  <si>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</si>
  <si>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434150.03.01</t>
  </si>
  <si>
    <t>Информационная поддерж.принятия..: Науч.-практ.пос./А.В.Затонский-М.:ИЦ РИОР,НИЦ ИНФРА-М,2020-333(о)</t>
  </si>
  <si>
    <t>ИНФОРМАЦИОННАЯ ПОДДЕРЖКА ПРИНЯТИЯ РЕШЕНИЙ ПРИ УПРАВЛЕНИИ ФИЛИАЛОМ ВУЗА</t>
  </si>
  <si>
    <t>Затонский А. В., Варламова С. А., Измайлова Е. В.</t>
  </si>
  <si>
    <t>Наука и практика</t>
  </si>
  <si>
    <t>978-5-369-01201-7</t>
  </si>
  <si>
    <t>27.03.05</t>
  </si>
  <si>
    <t>Пермский национальный исследовательский политехнический университет, Березниковский ф-л</t>
  </si>
  <si>
    <t>121200.11.01</t>
  </si>
  <si>
    <t>Информационная система предприятия: Уч. пос./Л.А.Вдовенко-2 изд.-М.:Вуз. уч., НИЦ ИНФРА-М,2024.-304 с.(П)</t>
  </si>
  <si>
    <t>ИНФОРМАЦИОННАЯ СИСТЕМА ПРЕДПРИЯТИЯ, ИЗД.2</t>
  </si>
  <si>
    <t>Вдовенко Л. А.</t>
  </si>
  <si>
    <t>978-5-9558-0329-6</t>
  </si>
  <si>
    <t>09.03.02, 38.04.09, 38.04.07, 38.04.01, 38.04.08, 38.04.06, 38.04.02, 38.04.03, 38.04.04, 38.04.05, 09.04.02, 38.05.01, 38.05.02, 38.03.01, 38.03.05, 38.03.06, 38.03.07, 38.03.02, 38.03.04, 38.03.03</t>
  </si>
  <si>
    <t>Рекомендовано в качестве учебного пособия для студентов вузов, обучающихся по экономическим направлениям подготовки</t>
  </si>
  <si>
    <t>0214</t>
  </si>
  <si>
    <t>810165.01.01</t>
  </si>
  <si>
    <t>Информационное противоборство: концепт. основы обеспеч...: Уч.пос. / Е.А.Дербин-М.:НИЦ ИНФРА-М,2024.-267(п)</t>
  </si>
  <si>
    <t>ИНФОРМАЦИОННОЕ ПРОТИВОБОРСТВО: КОНЦЕПТУАЛЬНЫЕ ОСНОВЫ ОБЕСПЕЧЕНИЯ ИНФОРМАЦИОННОЙ БЕЗОПАСНОСТИ</t>
  </si>
  <si>
    <t>Дербин Е.А., Царегородцев А.В.</t>
  </si>
  <si>
    <t>978-5-16-019050-1</t>
  </si>
  <si>
    <t>41.04.05, 10.05.02</t>
  </si>
  <si>
    <t>632251.09.01</t>
  </si>
  <si>
    <t>Информационно-коммуникационные тех.в образ.: Уч. / О.Ф.Брыксина - М.:НИЦ ИНФРА-М,2023- 549с.(ВО)(П)</t>
  </si>
  <si>
    <t>ИНФОРМАЦИОННО-КОММУНИКАЦИОННЫЕ ТЕХНОЛОГИИ В ОБРАЗОВАНИИ</t>
  </si>
  <si>
    <t>Брыксина О.Ф., Пономарева Е.А., Сонина М.Н.</t>
  </si>
  <si>
    <t>978-5-16-012818-4</t>
  </si>
  <si>
    <t>44.05.01, 44.03.01, 44.03.05, 44.03.04, 44.03.02, 44.03.03</t>
  </si>
  <si>
    <t>Рекомендовано в качестве учебника для студентов высших учебных заведений, обучающихся по направлениям подготовки 44.03.01 «Педагогическое образование», 44.03.02 «Психолого-педагогическое образование» (квалификация (степень) «бакалавр»)</t>
  </si>
  <si>
    <t>Самарский государственный социально-педагогический университет</t>
  </si>
  <si>
    <t>800520.01.01</t>
  </si>
  <si>
    <t>Информационные ресурсы и инструменты в работе исслед.: Уч. / В.Н.Гуреев-М.:НИЦ ИНФРА-М,2023.-191 с.(ВО)(п)</t>
  </si>
  <si>
    <t>ИНФОРМАЦИОННЫЕ РЕСУРСЫ И ИНСТРУМЕНТЫ В РАБОТЕ ИССЛЕДОВАТЕЛЯ</t>
  </si>
  <si>
    <t>Гуреев В.Н., Мазов Н.А., Ельцов И.Н.</t>
  </si>
  <si>
    <t>978-5-16-018378-7</t>
  </si>
  <si>
    <t>00.03.16, 00.05.16, 00.04.16, 00.06.01</t>
  </si>
  <si>
    <t>Новосибирский государственный технический университет</t>
  </si>
  <si>
    <t>424700.08.01</t>
  </si>
  <si>
    <t>Информационные ресурсы и технологии в эконом.: Уч. пос./Б.Е.Одинцов - Вуз. уч.: Инфра-М, 2024-462с.</t>
  </si>
  <si>
    <t>ИНФОРМАЦИОННЫЕ РЕСУРСЫ И ТЕХНОЛОГИИ В ЭКОНОМИКЕ</t>
  </si>
  <si>
    <t>Одинцов Б. Е., Романов А. Н.</t>
  </si>
  <si>
    <t>978-5-9558-0256-5</t>
  </si>
  <si>
    <t>38.03.01, 38.03.02</t>
  </si>
  <si>
    <t>684810.09.01</t>
  </si>
  <si>
    <t>Информационные сис. и технологии: Уч.пос. / О.Л.Голицына.-М.:Форум, НИЦ ИНФРА-М,2024.-400. с(СПО)(П)</t>
  </si>
  <si>
    <t>ИНФОРМАЦИОННЫЕ СИСТЕМЫ И ТЕХНОЛОГИИ</t>
  </si>
  <si>
    <t>978-5-00091-592-9</t>
  </si>
  <si>
    <t>09.02.02, 09.02.01, 09.02.03, 09.02.04, 09.02.05, 08.02.05, 27.02.06, 27.02.07, 09.02.07</t>
  </si>
  <si>
    <t>169500.13.01</t>
  </si>
  <si>
    <t>Информационные системы в экономике: Уч.пос. / К.В.Балдин - М.:НИЦ ИНФРА-М,2024-218с.(ВО)(п)</t>
  </si>
  <si>
    <t>ИНФОРМАЦИОННЫЕ СИСТЕМЫ В ЭКОНОМИКЕ</t>
  </si>
  <si>
    <t>Балдин К. В.</t>
  </si>
  <si>
    <t>978-5-16-019321-2</t>
  </si>
  <si>
    <t>38.03.01, 38.03.05, 09.03.03, 38.03.06, 38.03.07, 38.03.02, 38.03.04, 38.03.03</t>
  </si>
  <si>
    <t>Рекомендовано в качестве учебного пособия студентам высших учебных заведений, обучающихся по направлению 38.03.01 «Экономика»</t>
  </si>
  <si>
    <t>Российская таможенная академия</t>
  </si>
  <si>
    <t>103300.12.01</t>
  </si>
  <si>
    <t>Информационные системы в экономике: Уч.пос. / Под ред. Чистова Д.В. - М.:НИЦ ИНФРА-М,2023 - 234 с.(ВО)(П)</t>
  </si>
  <si>
    <t>Чистов Д. В.</t>
  </si>
  <si>
    <t>978-5-16-003511-6</t>
  </si>
  <si>
    <t>38.03.10, 09.03.02, 38.03.01, 38.03.05, 09.03.03, 38.03.06, 38.03.07, 38.03.02, 38.03.04, 38.03.03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</si>
  <si>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спец. "Финансы и кредит", "Бух. учет, анализ и аудит", "Мировая экономика", "Налоги и налогообложение"</t>
  </si>
  <si>
    <t>726004.05.01</t>
  </si>
  <si>
    <t>Информационные системы и програм. Спец. по информ. системам...: Уч. / М.С.Логачев-М.:НИЦ ИНФРА-М,2024-576с.(СПО)(П)</t>
  </si>
  <si>
    <t>ИНФОРМАЦИОННЫЕ СИСТЕМЫ И ПРОГРАММИРОВАНИЕ. СПЕЦИАЛИСТ ПО ИНФОРМАЦИОННЫМ СИСТЕМАМ. ВЫПУСКНАЯ КВАЛИФИКАЦИОННАЯ РАБОТА</t>
  </si>
  <si>
    <t>Логачев М.С.</t>
  </si>
  <si>
    <t>978-5-16-015919-5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</si>
  <si>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</si>
  <si>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Московский политехнический университет</t>
  </si>
  <si>
    <t>701990.04.01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</si>
  <si>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</si>
  <si>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</t>
  </si>
  <si>
    <t>978-5-16-014985-1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</si>
  <si>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</si>
  <si>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713030.02.01</t>
  </si>
  <si>
    <t>Информационные системы и программирование...: Уч. / М.С.Логачев-М.:НИЦ ИНФРА-М,2021.-551 с(П)</t>
  </si>
  <si>
    <t>ИНФОРМАЦИОННЫЕ СИСТЕМЫ И ПРОГРАММИРОВАНИЕ. ТЕХНИЧЕСКИЙ ПИСАТЕЛЬ. ВЫПУСКНАЯ КВАЛИФИКАЦИОННАЯ РАБОТА</t>
  </si>
  <si>
    <t>Логачев М.С., Семенова О.В.</t>
  </si>
  <si>
    <t>978-5-16-015544-9</t>
  </si>
  <si>
    <t>09.02.03, 09.02.04, 09.02.05, 09.02.07</t>
  </si>
  <si>
    <t>267500.10.01</t>
  </si>
  <si>
    <t>Информационные системы и технологии: Уч.пос. / О.Л.Голицына-М.:Форум, НИЦ ИНФРА-М,2023-400 с(ВО)(п)</t>
  </si>
  <si>
    <t>Голицына О. Л., Максимов Н. В., Попов И. И.</t>
  </si>
  <si>
    <t>978-5-00091-776-3</t>
  </si>
  <si>
    <t>Рекомендовано Учебно-методическим объединением вузов Российской Федерации по образованию в области прикладной информатики в качестве учебного пособия для студентов высших учебных заведений, обучающихся по направлению «Прикладная информатика»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</si>
  <si>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</si>
  <si>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</si>
  <si>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</si>
  <si>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</si>
  <si>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</si>
  <si>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</si>
  <si>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0219</t>
  </si>
  <si>
    <t>211100.09.01</t>
  </si>
  <si>
    <t>Информационные системы предприятия: Уч.пос. / А.О.Варфоломеева - 2изд.-М.:НИЦ ИНФРА-М,2024-330с.(ВО)</t>
  </si>
  <si>
    <t>978-5-16-012274-8</t>
  </si>
  <si>
    <t>09.03.01, 09.03.02, 46.04.02, 38.04.01, 38.04.02, 38.04.05, 09.04.03, 21.04.01, 09.04.01, 09.04.02, 38.03.01, 38.03.05, 09.03.03, 38.03.02, 45.03.04, 41.03.06</t>
  </si>
  <si>
    <t>Рекомендовано Учебно-методическим объединением по образованию в области прикладной информатики в качестве учебного пособия для студентов высших учебных заведений, обучающихся по направлению 09.03.03. «Прикладная информатика» и экономическим специальностям</t>
  </si>
  <si>
    <t>0217</t>
  </si>
  <si>
    <t>085640.12.01</t>
  </si>
  <si>
    <t>Информационные системы: Уч.пос. / О.Л.Голицына - 2-е изд.-М.:Форум, НИЦ ИНФРА-М,2024.-448 с.(ВО)(п)</t>
  </si>
  <si>
    <t>ИНФОРМАЦИОННЫЕ СИСТЕМЫ, ИЗД.2</t>
  </si>
  <si>
    <t>978-5-91134-833-5</t>
  </si>
  <si>
    <t>09.02.03, 46.03.02, 09.03.01, 09.03.04, 09.03.02, 11.03.01, 11.03.03, 11.03.04, 28.03.01, 12.03.03, 12.03.04, 16.03.03, 16.03.01, 16.03.02, 15.03.01, 15.03.03, 27.03.05, 10.04.01, 09.04.03, 15.04.04, 09.04.01, 09.04.04, 09.04.02, 09.03.03, 45.03.04</t>
  </si>
  <si>
    <t>Рекомендовано Учебно-методическим объединением вузов РФ по образованию в области прикладной информатики в качестве учебного пособия для студентов высших учебных заведений, обучающихся по специальности  510200 "Прикладная  математика и информатика"</t>
  </si>
  <si>
    <t>684812.01.01</t>
  </si>
  <si>
    <t>Информационные системы: Уч.пос. / О.Л.Голицына и др. - 2 изд.-М.:Форум, НИЦ ИНФРА-М,2018-448 с.-(СПО)(П)</t>
  </si>
  <si>
    <t>978-5-00091-594-3</t>
  </si>
  <si>
    <t>133150.18.01</t>
  </si>
  <si>
    <t>Информационные технол. в науке и образ.: Уч.пос. / Е.Л.Федотова - М.:ИД ФОРУМ, НИЦ ИНФРА-М,2023-335с.(П)</t>
  </si>
  <si>
    <t>ИНФОРМАЦИОННЫЕ ТЕХНОЛОГИИ В НАУКЕ И ОБРАЗОВАНИИ</t>
  </si>
  <si>
    <t>978-5-8199-0884-6</t>
  </si>
  <si>
    <t>44.04.02, 44.04.01, 44.04.03, 44.04.04, 09.04.03, 09.04.01, 09.04.04, 09.04.02</t>
  </si>
  <si>
    <t>Рекомендовано Учебно-методическим советом ВО в качестве учебного пособия для студентов высших учебных заведений, обучающихся по УГСН 44.03.00 «Образование и педагогические науки» (квалификация (степень) «бакалавр»)</t>
  </si>
  <si>
    <t>687639.07.01</t>
  </si>
  <si>
    <t>Информационные технолигии в юр. деят.: Уч.пос. / Г.А.Серова - М.:НИЦ ИНФРА-М,2023 - 241 с.-(ВО)(П)</t>
  </si>
  <si>
    <t>ИНФОРМАЦИОННЫЕ ТЕХНОЛОГИИ В ЮРИДИЧЕСКОЙ ДЕЯТЕЛЬНОСТИ</t>
  </si>
  <si>
    <t>Серова Г.А.</t>
  </si>
  <si>
    <t>978-5-16-014579-2</t>
  </si>
  <si>
    <t>40.03.01, 40.04.01, 40.05.01, 40.05.02, 40.05.03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</si>
  <si>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40.00.00 «Юриспруденция» (протокол № 12 от 24.06.2019)</t>
  </si>
  <si>
    <t>130450.11.01</t>
  </si>
  <si>
    <t>Информационные технологии в коммерции: Уч.пос. / Л.П.Гаврилов, - 2 изд.-М.:НИЦ ИНФРА-М,2024.-369 с.(ВО)(П)</t>
  </si>
  <si>
    <t>ИНФОРМАЦИОННЫЕ ТЕХНОЛОГИИ В КОММЕРЦИИ, ИЗД.2</t>
  </si>
  <si>
    <t>Гаврилов Л.П.</t>
  </si>
  <si>
    <t>978-5-16-016187-7</t>
  </si>
  <si>
    <t>38.04.06, 38.03.06</t>
  </si>
  <si>
    <t>Допущено Учебно-методическим объединением по образованию в области коммерции и маркетинга вкачестве учебного пособия для студентов вузов</t>
  </si>
  <si>
    <t>Военная академия Ракетных войск стратегического назначения им. Петра Великого</t>
  </si>
  <si>
    <t>130450.09.01</t>
  </si>
  <si>
    <t>Информационные технологии в коммерции: Уч.пос./ Л.П.Гаврилов-М.:НИЦ ИНФРА-М,2020-238с(ВО:Бакалавр.)(П)</t>
  </si>
  <si>
    <t>ИНФОРМАЦИОННЫЕ ТЕХНОЛОГИИ В КОММЕРЦИИ</t>
  </si>
  <si>
    <t>Гаврилов Л. П.</t>
  </si>
  <si>
    <t>978-5-16-004100-1</t>
  </si>
  <si>
    <t>Допущено Учебно-методическим объединением по образованию в области коммерции и маркетинга в качестве учебного пособия для студентов высших учебных заведений, обучающихся по специальности 080301 "Коммерция" (торговое дело) и 080111 "Маркетинг"</t>
  </si>
  <si>
    <t>442550.06.01</t>
  </si>
  <si>
    <t>Информационные технологии в менедж.: Уч. пос./В.И.Карпузова - 2 изд. -М.: Вуз. уч.: ИНФРА-М, 2023-301с. (п)</t>
  </si>
  <si>
    <t>ИНФОРМАЦИОННЫЕ ТЕХНОЛОГИИ В МЕНЕДЖМЕНТЕ, ИЗД.2</t>
  </si>
  <si>
    <t>Карпузова В. И., Скрипченко Э. Н., Чернышева К. В., Карпузова Н. В.</t>
  </si>
  <si>
    <t>978-5-9558-0315-9</t>
  </si>
  <si>
    <t>38.04.02, 38.03.02, 41.03.06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</si>
  <si>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080200 «Менеджмент» (профиль «Производственный менеджмент»)</t>
  </si>
  <si>
    <t>0213</t>
  </si>
  <si>
    <t>257100.08.01</t>
  </si>
  <si>
    <t>Информационные технологии в налогообложении: Уч. пос. / А.О. Горбенко - М:КУРС: ИНФРА-М,2022-256с. (О)</t>
  </si>
  <si>
    <t>ИНФОРМАЦИОННЫЕ ТЕХНОЛОГИИ В НАЛОГООБЛОЖЕНИИ</t>
  </si>
  <si>
    <t>Горбенко А. О., Мамасуев А. В.</t>
  </si>
  <si>
    <t>978-5-905554-49-0</t>
  </si>
  <si>
    <t>38.03.01</t>
  </si>
  <si>
    <t>Рекомендовано Советом Учебно-методического объединения по образованию в области финансов, учета и мировой экономики, в качестве учебного пособия для студентов обучающихся по направлению «Экономика» (степень бакалавра) и специальности/профилю «Бухгалт</t>
  </si>
  <si>
    <t>745695.04.01</t>
  </si>
  <si>
    <t>Информационные технологии в проф. деят.: Уч. / М.М.Ниматулаев-М.:НИЦ ИНФРА-М,2023.-250 с.(ВО: Спец.)(П)</t>
  </si>
  <si>
    <t>ИНФОРМАЦИОННЫЕ ТЕХНОЛОГИИ В ПРОФЕССИОНАЛЬНОЙ ДЕЯТЕЛЬНОСТИ</t>
  </si>
  <si>
    <t>Ниматулаев М.М.</t>
  </si>
  <si>
    <t>978-5-16-016545-5</t>
  </si>
  <si>
    <t>40.05.04, 21.02.12, 40.05.01, 40.05.02, 40.05.03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</si>
  <si>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укрупненной группе специальностей 38.05.00 «Экономика и менеджмент» (протокол № 8 от 22.06.2020)</t>
  </si>
  <si>
    <t>693970.04.01</t>
  </si>
  <si>
    <t>Информационные технологии в проф. деят.: Уч. / М.М.Ниматулаев-М.:НИЦ ИНФРА-М,2024.-250 с.(ВО)(П)</t>
  </si>
  <si>
    <t>978-5-16-015399-5</t>
  </si>
  <si>
    <t>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</si>
  <si>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направлению подготовки 38.03.02 «Менеджмент» (квалификация (степень) «бакалавр») (протокол № 5 от 26.03.2020)</t>
  </si>
  <si>
    <t>089200.16.01</t>
  </si>
  <si>
    <t>Информационные технологии в проф. деят.: Уч. пос. /Е.Л. Федотова - ФОРУМ:ИНФРА-М, 2023 - 367с.(СПО) (п)</t>
  </si>
  <si>
    <t>978-5-8199-0752-8</t>
  </si>
  <si>
    <t>11.01.09, 09.01.03, 09.01.02, 09.01.01, 21.02.12, 13.02.06, 13.02.09, 23.02.04, 09.02.02, 09.02.01, 09.02.03, 09.02.04, 09.02.05, 10.02.04, 15.02.10, 10.02.05, 09.02.07</t>
  </si>
  <si>
    <t>704239.01.01</t>
  </si>
  <si>
    <t>Информационные технологии в проф. деятельности: Уч.пос. / С.В.Синаторов, -М.:НИЦ ИНФРА-М,2022.-277 с.(СПО)(П)</t>
  </si>
  <si>
    <t>Синаторов С.В., Пикулик О.В., АВАНГАРД-БУКС О.</t>
  </si>
  <si>
    <t>978-5-16-016278-2</t>
  </si>
  <si>
    <t>44.02.01, 44.02.02, 44.02.03, 44.02.04, 44.02.05, 44.02.06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</si>
  <si>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</si>
  <si>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</si>
  <si>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730636.02.01</t>
  </si>
  <si>
    <t>Информационные технологии в юридической деят/: Уч.пос. / Г.А.Серова-М.:НИЦ ИНФРА-М,2021.-241 с.(П)</t>
  </si>
  <si>
    <t>978-5-16-015946-1</t>
  </si>
  <si>
    <t>40.02.01, 40.02.02, 40.02.03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</si>
  <si>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14 от 30.09.2019)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</si>
  <si>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</si>
  <si>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</si>
  <si>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</t>
  </si>
  <si>
    <t>Федотова Е. Л.</t>
  </si>
  <si>
    <t>978-5-8199-0899-0</t>
  </si>
  <si>
    <t>09.02.03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</si>
  <si>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</si>
  <si>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099200.12.01</t>
  </si>
  <si>
    <t>Информационные технологии и системы: Уч.пос. / Е.Л.Федотова-М.:ИД Форум, НИЦ ИНФРА-М,2023.-352 с.(ВО)(П)</t>
  </si>
  <si>
    <t>978-5-8199-0927-0</t>
  </si>
  <si>
    <t>09.02.03, 09.03.02</t>
  </si>
  <si>
    <t>Рекомендовано Учебно-методическим объединением по образованию в области прикладной информатики в качестве учебного пособия для студентов высших учебных заведений, обучающихся по специальности «Прикладная информатика» и другим экономическим специальностям</t>
  </si>
  <si>
    <t>139800.10.01</t>
  </si>
  <si>
    <t>Информационные технологии упр. проектами: Уч.пос. / Н.М.Светлов - 2 изд. - М.:НИЦ ИНФРА-М,2024-232 с.(ВО)(П)</t>
  </si>
  <si>
    <t>ИНФОРМАЦИОННЫЕ ТЕХНОЛОГИИ УПРАВЛЕНИЯ ПРОЕКТАМИ, ИЗД.2</t>
  </si>
  <si>
    <t>Светлов Н. М., Светлова Г. Н.</t>
  </si>
  <si>
    <t>978-5-16-004472-9</t>
  </si>
  <si>
    <t>Допущено УМО по образованию в области производственного менеджмента в качестве учебного пособия для студентов высших учебных заведений, обучающихся по направлению подготовки 38.03.02 «Менеджмент»</t>
  </si>
  <si>
    <t>Центральный экономико-математический институт Российской академии наук</t>
  </si>
  <si>
    <t>089750.14.01</t>
  </si>
  <si>
    <t>Информационные технологии упр.: Уч. / Б.В.Черников - 2 изд.-М:ИД ФОРУМ,НИЦ ИНФРА-М,2024-368с(ВО)(П)</t>
  </si>
  <si>
    <t>ИНФОРМАЦИОННЫЕ ТЕХНОЛОГИИ УПРАВЛЕНИЯ, ИЗД.2</t>
  </si>
  <si>
    <t>Черников Б.В.</t>
  </si>
  <si>
    <t>978-5-8199-0782-5</t>
  </si>
  <si>
    <t>38.03.02, 38.03.04</t>
  </si>
  <si>
    <t>Рекомендовано УМО в области экономики, менеджмента, логистики и бизнес-информатики в качестве учебника для студентов высших учебных заведений, обучающихся по направлениям подготовки 38.03.02 «Менеджмент» и 38.03.04 «Государственное и муниципальное управление»</t>
  </si>
  <si>
    <t>427250.08.01</t>
  </si>
  <si>
    <t>Информационные технологии: разраб. информ. модел..: Уч.пос. /А.В.Затонский-РИОР:ИНФРА-М,2020-344с(о)</t>
  </si>
  <si>
    <t>ИНФОРМАЦИОННЫЕ ТЕХНОЛОГИИ: РАЗРАБОТКА ИНФОРМАЦИОННЫХ МОДЕЛЕЙ И СИСТЕМ</t>
  </si>
  <si>
    <t>Затонский А. В.</t>
  </si>
  <si>
    <t>978-5-369-01183-6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</si>
  <si>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230100 «Информатика и вычислительная техника»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</si>
  <si>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</si>
  <si>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</si>
  <si>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978-5-369-01823-1</t>
  </si>
  <si>
    <t>441950.06.01</t>
  </si>
  <si>
    <t>История защиты информ. в заруб. странах: Уч.пос. / А.В.Бабаш - ИЦ РИОР,НИЦ ИНФРА-М,2021 - 284 с.(ВО)(П)</t>
  </si>
  <si>
    <t>ИСТОРИЯ ЗАЩИТЫ ИНФОРМАЦИИ В ЗАРУБЕЖНЫХ СТРАНАХ</t>
  </si>
  <si>
    <t>Бабаш А. В., Ларин Д. А.</t>
  </si>
  <si>
    <t>978-5-369-01844-6</t>
  </si>
  <si>
    <t>09.03.01, 10.03.01, 10.04.01, 01.04.04, 27.04.03</t>
  </si>
  <si>
    <t>118450.14.01</t>
  </si>
  <si>
    <t>Комплексная защита информ.в корпорат..: Уч.пос. /В.Ф.Шаньгин-М.:ИД ФОРУМ,НИЦ ИНФРА-М,2024-592с(ВО)(п)</t>
  </si>
  <si>
    <t>КОМПЛЕКСНАЯ ЗАЩИТА ИНФОРМАЦИИ В КОРПОРАТИВНЫХ СИСТЕМАХ</t>
  </si>
  <si>
    <t>978-5-8199-0730-6</t>
  </si>
  <si>
    <t>46.03.02, 09.04.03, 27.04.03, 09.03.03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</si>
  <si>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09.03.01 «Информатика и вычислительная техника»</t>
  </si>
  <si>
    <t>682954.09.01</t>
  </si>
  <si>
    <t>Компьютерная графика и web-дизайн: Уч.пос. / Гагарина Л.Г. - М.:ИД ФОРУМ, НИЦ ИНФРА-М,2023 - 400 с.(П)</t>
  </si>
  <si>
    <t>КОМПЬЮТЕРНАЯ ГРАФИКА И WEB-ДИЗАЙН</t>
  </si>
  <si>
    <t>Немцова Т.И., Казанкова Т.В., Шнякин А.В. и др.</t>
  </si>
  <si>
    <t>978-5-8199-0790-0</t>
  </si>
  <si>
    <t>15.02.08, 09.02.02, 09.02.01, 09.02.03, 09.02.04, 09.02.05, 15.02.15, 09.02.07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</si>
  <si>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</si>
  <si>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</si>
  <si>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467550.11.01</t>
  </si>
  <si>
    <t>Компьютерная графика и web-дизайн: Уч.пос. / Т.И. Немцова - М.:ИД ФОРУМ, НИЦ ИНФРА-М,2024 - 400c(П)</t>
  </si>
  <si>
    <t>978-5-8199-0703-0</t>
  </si>
  <si>
    <t>05.02.01, 07.03.03, 09.03.01, 09.03.03, 09.02.07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</si>
  <si>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«МИЭТ» в качестве учебного пособия для студентов, обучающихся по направлению подготовки 09.03.04 «Программная инженерия»</t>
  </si>
  <si>
    <t>683088.04.01</t>
  </si>
  <si>
    <t>Компьютерное моделирование многофазных течений при...:Уч.пос. / Е.Ю.Шарай-М.:НИЦ ИНФРА-М,2023-132с(П)</t>
  </si>
  <si>
    <t>КОМПЬЮТЕРНОЕ МОДЕЛИРОВАНИЕ МНОГОФАЗНЫХ ТЕЧЕНИЙ ПРИ РЕШЕНИИ ЗАДАЧ ТЕХНОСФЕРНОЙ БЕЗОПАСНОСТИ</t>
  </si>
  <si>
    <t>Шарай Е.Ю., Девисилов В.А.</t>
  </si>
  <si>
    <t>978-5-16-014257-9</t>
  </si>
  <si>
    <t>20.04.01, 20.04.02, 20.05.01</t>
  </si>
  <si>
    <t>Рекомендовано федеральным учебно-методическим объединением в системе высшего образования по укрупненной группе специальностей и направлений подготовки 20.00.00 «Техносферная безопасность и природообустройство» в качестве учебного пособия для студентов, обучающихся по основным образовательным программам высшего образования по направлению подготовки магистров 20.04.01 «Техносферная безопасность»</t>
  </si>
  <si>
    <t>488850.09.01</t>
  </si>
  <si>
    <t>Компьютерное моделирование..: Уч. пос. / Г.К. Сосновиков - М.: Форум:  НИЦ ИНФРА-М, 2023-112 с.(О)</t>
  </si>
  <si>
    <t>КОМПЬЮТЕРНОЕ МОДЕЛИРОВАНИЕ. ПРАКТИКУМ ПО ИМИТАЦИОННОМУ МОДЕЛИРОВАНИЮ В СРЕДЕ GPSS WORLD</t>
  </si>
  <si>
    <t>Сосновиков Г.К., Воробейчиков Л.А.</t>
  </si>
  <si>
    <t>978-5-00091-035-1</t>
  </si>
  <si>
    <t>15.02.07, 09.02.03, 02.03.02, 09.03.02, 11.03.02, 02.04.02, 11.04.02, 09.04.02</t>
  </si>
  <si>
    <t>Рекомендовано УМО по образованию в области инфокоммуникационных технологий и систем связи в качестве учебного пособия для студентов высших учебных заведений, обучающихся по направлению подготовки 11.03.02 «Инфокоммуникационные технологии и системы св</t>
  </si>
  <si>
    <t>638282.09.01</t>
  </si>
  <si>
    <t>Компьютерное моделирование: Уч. / В.М.Градов и др. - М.:КУРС, НИЦ ИНФРА-М,2023 - 264 с.-(ВО)(П)</t>
  </si>
  <si>
    <t>КОМПЬЮТЕРНОЕ МОДЕЛИРОВАНИЕ</t>
  </si>
  <si>
    <t>Градов В.М., Овечкин Г.В., Овечкин П.В. и др.</t>
  </si>
  <si>
    <t>978-5-906818-79-9</t>
  </si>
  <si>
    <t>15.02.07, 02.03.03, 02.04.03</t>
  </si>
  <si>
    <t>Рекомендовано Научно-методическим советом «РГРТУ» в качестве учебника для студентов высших учебных заведений. обучающихся по направлению подготовки 02.03.03 — математическое обеспечение и администрирование информационных систем (квалификация «бакалавр»)</t>
  </si>
  <si>
    <t>474850.07.01</t>
  </si>
  <si>
    <t>Компьютерное формообразование в дизайне: Уч.пос. /Л.Б.Каршакова-НИЦ ИНФРА-М, 2024 - 240с(ВО: Бак.) (п)</t>
  </si>
  <si>
    <t>КОМПЬЮТЕРНОЕ ФОРМООБРАЗОВАНИЕ В ДИЗАЙНЕ</t>
  </si>
  <si>
    <t>Каршакова Л.Б., Яковлева Н.Б., Бесчастнов П.Н.</t>
  </si>
  <si>
    <t>978-5-16-010191-0</t>
  </si>
  <si>
    <t>09.03.02, 54.03.01, 54.03.03</t>
  </si>
  <si>
    <t>Допущено УМО по образованию в области технологии, конструирования изделий легкой промышленности в качестве учебного пособия для бакалавров и магистров, обучающихся в высших учебных заведениях по направлению подготовки "Информационные системы и технологии», профиль «Информационные технологии в дизайне"</t>
  </si>
  <si>
    <t>Российский государственный университет им. А.Н. Косыгина</t>
  </si>
  <si>
    <t>064700.17.01</t>
  </si>
  <si>
    <t>Компьютерные сети: Уч.пос. / А.В.Кузин - 4 изд. - М.:Форум,НИЦ ИНФРА-М,2024 - 190 с.-(СПО)(П)</t>
  </si>
  <si>
    <t>КОМПЬЮТЕРНЫЕ СЕТИ, ИЗД.4</t>
  </si>
  <si>
    <t>Кузин А.В., Кузин Д.А.</t>
  </si>
  <si>
    <t>978-5-00091-453-3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</si>
  <si>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</si>
  <si>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</si>
  <si>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</si>
  <si>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040100.27.01</t>
  </si>
  <si>
    <t>Компьютерные сети: Уч.пос. / Н.В.Максимов - 6 изд. - М.:Форум,НИЦ ИНФРА-М,2024 - 464 с.(СПО)(П)</t>
  </si>
  <si>
    <t>КОМПЬЮТЕРНЫЕ СЕТИ, ИЗД.6</t>
  </si>
  <si>
    <t>Максимов Н. В., Попов И. И.</t>
  </si>
  <si>
    <t>978-5-00091-454-0</t>
  </si>
  <si>
    <t>09.01.03, 09.01.02, 09.01.01, 09.02.02, 09.02.01, 09.02.03, 09.02.04, 09.02.05, 10.02.02, 10.02.03, 10.02.01, 09.02.06, 09.02.07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</si>
  <si>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</si>
  <si>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0613</t>
  </si>
  <si>
    <t>765368.01.01</t>
  </si>
  <si>
    <t>Компьютерные технологии в проф. деят.: Уч. / Н.В.Кузнецова-М.:НИЦ ИНФРА-М,2023.-280 с.(ВО:Магистр)(п)</t>
  </si>
  <si>
    <t>КОМПЬЮТЕРНЫЕ ТЕХНОЛОГИИ В ПРОФЕССИОНАЛЬНОЙ ДЕЯТЕЛЬНОСТИ</t>
  </si>
  <si>
    <t>Кузнецова Н.В., Морозкина С.С.</t>
  </si>
  <si>
    <t>978-5-16-017539-3</t>
  </si>
  <si>
    <t>38.04.01</t>
  </si>
  <si>
    <t>Кубанский государственный аграрный университет им. И.Т. Трубилина</t>
  </si>
  <si>
    <t>Июнь, 2023</t>
  </si>
  <si>
    <t>178750.08.01</t>
  </si>
  <si>
    <t>Компьютерный видеомонтаж: Уч.пос. / Л.И.Алешин - М.:Форум,2024- 176 с.(О)</t>
  </si>
  <si>
    <t>КОМПЬЮТЕРНЫЙ ВИДЕОМОНТАЖ</t>
  </si>
  <si>
    <t>Алешин Л. И.</t>
  </si>
  <si>
    <t>978-5-91134-634-8</t>
  </si>
  <si>
    <t>09.02.05</t>
  </si>
  <si>
    <t>Московский государственный институт культуры</t>
  </si>
  <si>
    <t>085060.11.01</t>
  </si>
  <si>
    <t>Компьютерный практ. по курсу "Информатика": Уч.пос. /В.Т.Безручко-3изд. -ИД ФОРУМ,ИНФРА-М,2023-368с(П)</t>
  </si>
  <si>
    <t>КОМПЬЮТЕРНЫЙ ПРАКТИКУМ ПО КУРСУ "ИНФОРМАТИКА", ИЗД.3</t>
  </si>
  <si>
    <t>Безручко В. Т.</t>
  </si>
  <si>
    <t>978-5-8199-0714-6</t>
  </si>
  <si>
    <t>Допущено научно-методическим советом по информатике при Мин. обр. и науки РФ в качестве учебного пособия по дисциплине "Информатика" для студентов вузов, обучающихся по гуманитарным и экономическим направлениям и специальностям</t>
  </si>
  <si>
    <t>0308</t>
  </si>
  <si>
    <t>085870.12.01</t>
  </si>
  <si>
    <t>Компьютерный практикум по информатике. Офис. техн.: Уч.пос. / Г.В.Калабухова-М.:ИД Форум, НИЦ ИНФРА-М,2022.-336с.(ВО)(П)</t>
  </si>
  <si>
    <t>КОМПЬЮТЕРНЫЙ ПРАКТИКУМ ПО ИНФОРМАТИКЕ. ОФИСНЫЕ ТЕХНОЛОГИИ</t>
  </si>
  <si>
    <t>Калабухова Г. В., Титов В. М.</t>
  </si>
  <si>
    <t>978-5-8199-0916-4</t>
  </si>
  <si>
    <t>Рекомендовано Учебно-методическим объединением по образованию в области социальной работы в качестве учебного пособия для студентов высших учебных заведений, обучающихся по направлению и специальности «Социальная работа»</t>
  </si>
  <si>
    <t>Московский городской педагогический университет</t>
  </si>
  <si>
    <t>664178.08.01</t>
  </si>
  <si>
    <t>Конфигурирование и моделир.в сист.«1С: Предпр.»: Уч. /Э.Г.Дадян - М.:Вуз.уч. НИЦ ИНФРА-М,2024 - 417 с(П)</t>
  </si>
  <si>
    <t>КОНФИГУРИРОВАНИЕ И МОДЕЛИРОВАНИЕ В СИСТЕМЕ «1С: ПРЕДПРИЯТИЕ»</t>
  </si>
  <si>
    <t>Высшее образование: Магистратура (ФУ)</t>
  </si>
  <si>
    <t>978-5-9558-0581-8</t>
  </si>
  <si>
    <t>02.03.02, 03.03.02, 01.03.04, 09.03.01, 09.03.04, 01.04.04, 09.03.03</t>
  </si>
  <si>
    <t>795913.01.01</t>
  </si>
  <si>
    <t>Конфликтно-активное управление проектами разв. систем..: Моногр. / Новосельцев В.И.-М.:НИЦ ИНФРА-М,2023-235с.(п)</t>
  </si>
  <si>
    <t>КОНФЛИКТНО-АКТИВНОЕ УПРАВЛЕНИЕ ПРОЕКТАМИ РАЗВИТИЯ СИСТЕМ ОБЕСПЕЧЕНИЯ ИНФОРМАЦИОННОЙ БЕЗОПАСНОСТИ ИНФОКОММУНИКАЦИОННЫХ СЕТЕЙ</t>
  </si>
  <si>
    <t>Новосельцев В.И., Кочедыков С.С., Орлова Д.Е. и др.</t>
  </si>
  <si>
    <t>978-5-16-018194-3</t>
  </si>
  <si>
    <t>10.04.01, 10.05.02, 10.06.01</t>
  </si>
  <si>
    <t>Воронежский институт Федеральной службы исполнения наказаний России</t>
  </si>
  <si>
    <t>Февраль, 2023</t>
  </si>
  <si>
    <t>306200.07.01</t>
  </si>
  <si>
    <t>Криптографическая деят. в Рос.от Полтавы до.../ Д.А.Ларин - М.:ИЦ РИОР, НИЦ ИНФРА-М,2023-281 с.(О)</t>
  </si>
  <si>
    <t>КРИПТОГРАФИЧЕСКАЯ ДЕЯТЕЛЬНОСТЬ В РОССИИ ОТ ПОЛТАВЫ ДО БОРОДИНА</t>
  </si>
  <si>
    <t>Ларин Д. А.</t>
  </si>
  <si>
    <t>978-5-369-01384-7</t>
  </si>
  <si>
    <t>10.03.01, 10.04.01</t>
  </si>
  <si>
    <t>МИРЭА - Российский технологический университет</t>
  </si>
  <si>
    <t>654164.08.01</t>
  </si>
  <si>
    <t>Криптографическая защита информации: Уч.пос. / С.О.Крамаров -М.:ИЦ РИОР, НИЦ ИНФРА-М,2023-321с.(П)</t>
  </si>
  <si>
    <t>КРИПТОГРАФИЧЕСКАЯ ЗАЩИТА ИНФОРМАЦИИ</t>
  </si>
  <si>
    <t>Крамаров С.О., Тищенко Е.Н., Соколов С.В. и др.</t>
  </si>
  <si>
    <t>978-5-369-01716-6</t>
  </si>
  <si>
    <t>11.03.02, 10.03.01, 10.04.01, 38.04.05, 11.04.02, 38.03.05, 11.05.04</t>
  </si>
  <si>
    <t>Сургутский государственный университет</t>
  </si>
  <si>
    <t>717877.02.01</t>
  </si>
  <si>
    <t>Криптографические конструкции на основе функций...: Моногр./ А.В.Соколов-М.:НИЦ ИНФРА-М,2022-192 с.(Науч.мысль)(О)</t>
  </si>
  <si>
    <t>КРИПТОГРАФИЧЕСКИЕ КОНСТРУКЦИИ НА ОСНОВЕ ФУНКЦИЙ МНОГОЗНАЧНОЙ ЛОГИКИ</t>
  </si>
  <si>
    <t>Соколов А.В., Жданов О.Н.</t>
  </si>
  <si>
    <t>978-5-16-015667-5</t>
  </si>
  <si>
    <t>15.02.07, 01.03.04, 10.03.01, 10.04.01, 01.04.01, 02.04.02, 10.05.01, 10.05.02, 02.03.01</t>
  </si>
  <si>
    <t>Одесский национальний политехнический университет</t>
  </si>
  <si>
    <t>447550.06.01</t>
  </si>
  <si>
    <t>Криптографические методы защиты информ.:Уч.пос.:Т.1/А.В.Бабаш-2изд.-ИЦ РИОР,НИЦ ИНФРА-М,2021-413с(о)</t>
  </si>
  <si>
    <t>КРИПТОГРАФИЧЕСКИЕ МЕТОДЫ ЗАЩИТЫ ИНФОРМАЦИИ, Т.1, ИЗД.2</t>
  </si>
  <si>
    <t>Бабаш А. В.</t>
  </si>
  <si>
    <t>978-5-369-01267-3</t>
  </si>
  <si>
    <t>Учебно-методическое пособие</t>
  </si>
  <si>
    <t>02.03.02, 09.03.02, 10.03.01, 10.04.01, 02.04.02, 01.04.02, 09.04.03, 09.04.02, 10.05.04, 01.03.02, 09.03.03</t>
  </si>
  <si>
    <t>Рекомендовано Учебно-методическим объединением по образованию в области прикладной информатики в качестве учебно-методического пособия для студентов высших учебных заведений, обучающихся по специальности «Прикладная информатика» и другим междисциплинарным специальностям</t>
  </si>
  <si>
    <t>742799.01.01</t>
  </si>
  <si>
    <t>Математические задачи координатно-измерит. машин / Н.Г.Чикуров-М.:НИЦ ИНФРА-М,2021.-150 с.(О)</t>
  </si>
  <si>
    <t>МАТЕМАТИЧЕСКИЕ ЗАДАЧИ КООРДИНАТНО-ИЗМЕРИТЕЛЬНЫХ МАШИН</t>
  </si>
  <si>
    <t>Чикуров Н.Г.</t>
  </si>
  <si>
    <t>978-5-16-016483-0</t>
  </si>
  <si>
    <t>15.03.03, 15.03.06, 15.03.05, 15.04.05, 15.06.01</t>
  </si>
  <si>
    <t>075550.07.01</t>
  </si>
  <si>
    <t>Математические методы в программир.: Уч. / В.П.Агальцов -2изд.-М.:ИД ФОРУМ,ИНФРА-М,2017-240с.(ПО)(П)</t>
  </si>
  <si>
    <t>МАТЕМАТИЧЕСКИЕ МЕТОДЫ В ПРОГРАММИРОВАНИИ, ИЗД.2</t>
  </si>
  <si>
    <t>978-5-8199-0410-7</t>
  </si>
  <si>
    <t>10.02.04, 10.02.05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</si>
  <si>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</si>
  <si>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0210</t>
  </si>
  <si>
    <t>758795.03.01</t>
  </si>
  <si>
    <t>Менеджмент информационного контента: Уч.пос. / В.Н.Шитов - М.:НИЦ ИНФРА-М,2024 - 209 с.(СПО)(П)</t>
  </si>
  <si>
    <t>МЕНЕДЖМЕНТ ИНФОРМАЦИОННОГО КОНТЕНТА</t>
  </si>
  <si>
    <t>978-5-16-017311-5</t>
  </si>
  <si>
    <t>02.03.02, 38.03.02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</si>
  <si>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</si>
  <si>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312000.03.01</t>
  </si>
  <si>
    <t>Метаэвристические алгоритмы поиска оптимального.: Моногр. / А.В.Пантелеев-М.:НИЦ ИНФРА-М,2020-396(п)</t>
  </si>
  <si>
    <t>МЕТАЭВРИСТИЧЕСКИЕ АЛГОРИТМЫ ПОИСКА ОПТИМАЛЬНОГО ПРОГРАММНОГО УПРАВЛЕНИЯ</t>
  </si>
  <si>
    <t>Пантелеев А.В., Скавинская Д.В., Алёшина Е.А.</t>
  </si>
  <si>
    <t>978-5-16-011841-3</t>
  </si>
  <si>
    <t>01.03.04</t>
  </si>
  <si>
    <t>Московский авиационный институт (национальный исследовательский университет)</t>
  </si>
  <si>
    <t>443750.07.01</t>
  </si>
  <si>
    <t>Методика выбора ключевой информ. для алгоритма..: Моногр. / О.Н.Жданов-М.: НИЦ ИНФРА-М, 2024-88с.(О)</t>
  </si>
  <si>
    <t>МЕТОДИКА ВЫБОРА КЛЮЧЕВОЙ ИНФОРМАЦИИ ДЛЯ АЛГОРИТМА БЛОЧНОГО ШИФРОВАНИЯ</t>
  </si>
  <si>
    <t>Жданов О.Н.</t>
  </si>
  <si>
    <t>978-5-16-006890-9</t>
  </si>
  <si>
    <t>01.03.04, 01.04.04, 01.04.01, 02.04.01, 01.04.02, 01.03.01, 02.03.01</t>
  </si>
  <si>
    <t>Сибирский государственный университет науки и технологий им. академика М.Ф. Решетнева</t>
  </si>
  <si>
    <t>239300.08.01</t>
  </si>
  <si>
    <t>Методология и технология имитац. исслед. слож. сист.:Моногр./В.В.Девятков-Вуз. уч.:ИНФРА-М,2023-445с (п)</t>
  </si>
  <si>
    <t>МЕТОДОЛОГИЯ И ТЕХНОЛОГИЯ ИМИТАЦИОННЫХ ИССЛЕДОВАНИЙ СЛОЖНЫХ СИСТЕМ: СОВРЕМЕННОЕ СОСТОЯНИЕ И ПЕРСПЕКТИВЫ РАЗВИТИЯ</t>
  </si>
  <si>
    <t>Девятков В. В.</t>
  </si>
  <si>
    <t>Научная книга</t>
  </si>
  <si>
    <t>978-5-9558-0338-8</t>
  </si>
  <si>
    <t>02.03.02, 02.03.03, 03.03.03, 01.03.03, 02.04.03, 02.04.01, 02.04.02, 01.04.03, 02.03.01</t>
  </si>
  <si>
    <t>719226.02.01</t>
  </si>
  <si>
    <t>Методология создания информ. сис.: Уч.пос. / А.М.Карминский - 2 изд.-М.:ИД Форум, НИЦ ИНФРА-М,2023-320 с(СПО)(П)</t>
  </si>
  <si>
    <t>МЕТОДОЛОГИЯ СОЗДАНИЯ ИНФОРМАЦИОННЫХ СИСТЕМ, ИЗД.2</t>
  </si>
  <si>
    <t>Карминский А. М., Черников Б. В.</t>
  </si>
  <si>
    <t>978-5-8199-0898-3</t>
  </si>
  <si>
    <t>38.02.04, 38.02.05, 09.02.03, 38.02.06, 38.02.07, 38.02.01, 38.02.02, 38.02.03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</si>
  <si>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</si>
  <si>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0220</t>
  </si>
  <si>
    <t>170900.09.01</t>
  </si>
  <si>
    <t>Методология создания информ. сист.: Уч. пос. / А.М.Карминский-2изд.-М.:ИД ФОРУМ:ИНФРА-М, 2024-320с.(ВО)</t>
  </si>
  <si>
    <t>978-5-8199-0494-7</t>
  </si>
  <si>
    <t>09.03.02, 09.04.02, 38.03.01, 38.03.02</t>
  </si>
  <si>
    <t>Допущено Советом Учебно-методического объединения по образованию в области менеджмента в качестве учебного пособия по дисциплине специальности "Менеджмент организации"</t>
  </si>
  <si>
    <t>631443.02.01</t>
  </si>
  <si>
    <t>Методы и алгоритмы обработки данных: Уч.пос. / А.А.Григорьев - М.:НИЦ ИНФРА-М,2018-256с.(ВО)(П)</t>
  </si>
  <si>
    <t>МЕТОДЫ И АЛГОРИТМЫ ОБРАБОТКИ ДАННЫХ</t>
  </si>
  <si>
    <t>Григорьев А.А.</t>
  </si>
  <si>
    <t>978-5-16-011916-8</t>
  </si>
  <si>
    <t>38.04.01, 38.04.02, 38.05.01, 38.03.01, 38.03.02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</si>
  <si>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</si>
  <si>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631443.05.01</t>
  </si>
  <si>
    <t>Методы и алгоритмы обработки данных: Уч.пос. / А.А.Григорьев, - 2 изд.-М.:НИЦ ИНФРА-М,2023.-383 с.(ВО)(П)</t>
  </si>
  <si>
    <t>МЕТОДЫ И АЛГОРИТМЫ ОБРАБОТКИ ДАННЫХ, ИЗД.2</t>
  </si>
  <si>
    <t>Григорьев А.А., Исаев Е.А.</t>
  </si>
  <si>
    <t>978-5-16-015581-4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</si>
  <si>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экономическим направлениям подготовки и специальностям  (протокол № 8 от 22.06.2020)</t>
  </si>
  <si>
    <t>719225.05.01</t>
  </si>
  <si>
    <t>Методы и средства проектир. информац. сис.: Уч.пос. / Н.Н.Заботина-М.:НИЦ ИНФРА-М,2023.-331 с.(П)</t>
  </si>
  <si>
    <t>МЕТОДЫ И СРЕДСТВА ПРОЕКТИРОВАНИЯ ИНФОРМАЦИОННЫХ СИСТЕМ</t>
  </si>
  <si>
    <t>Заботина Н.Н.</t>
  </si>
  <si>
    <t>978-5-16-015597-5</t>
  </si>
  <si>
    <t>09.02.03, 09.02.04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</si>
  <si>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</si>
  <si>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</si>
  <si>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439500.07.01</t>
  </si>
  <si>
    <t>Методы оптимальных решений: Уч. / И.Н.Мастяева и др. - М.:КУРС, НИЦ ИНФРА-М,2023 - 384 с.(п)</t>
  </si>
  <si>
    <t>МЕТОДЫ ОПТИМАЛЬНЫХ РЕШЕНИЙ</t>
  </si>
  <si>
    <t>Мастяева И.Н., Горемыкина Г.И., Семенихина О.Н.</t>
  </si>
  <si>
    <t>978-5-905554-24-7</t>
  </si>
  <si>
    <t>791570.01.01</t>
  </si>
  <si>
    <t>Методы цифровой обработки и распознавания речи/ А.Г.Шишкин-М.:НИЦ ИНФРА-М,2023.-347 с.(о)</t>
  </si>
  <si>
    <t>МЕТОДЫ ЦИФРОВОЙ ОБРАБОТКИ И РАСПОЗНАВАНИЯ РЕЧИ</t>
  </si>
  <si>
    <t>Шишкин А.Г.</t>
  </si>
  <si>
    <t>978-5-16-018017-5</t>
  </si>
  <si>
    <t>45.04.04, 02.04.02, 01.04.02, 09.04.03, 09.04.04, 10.05.03, 01.06.01, 02.06.01, 09.06.01, 10.06.01, 45.06.01</t>
  </si>
  <si>
    <t>418200.04.01</t>
  </si>
  <si>
    <t>Методы, модели и алгоритмы в автоматизир...: Моногр. / М.В.Головицына-М.:НИЦ ИНФРА-М,2019-276с.(О)</t>
  </si>
  <si>
    <t>МЕТОДЫ, МОДЕЛИ И АЛГОРИТМЫ В АВТОМАТИЗИРОВАННОЙ ПОДГОТОВКЕ И ОПЕРАТИВНОМ УПРАВЛЕНИИ ПРОИЗВОДСТВОМ РЭС</t>
  </si>
  <si>
    <t>Головицына М.В.</t>
  </si>
  <si>
    <t>978-5-16-009773-2</t>
  </si>
  <si>
    <t>11.04.04, 11.04.03, 11.04.01, 11.04.02</t>
  </si>
  <si>
    <t>287000.08.01</t>
  </si>
  <si>
    <t>Методы, модели, средства хранения и обр.данных: Уч. / Э.Г.Дадян-М.:Вуз.уч.,НИЦ ИНФРА-М,2022-168с.(П)</t>
  </si>
  <si>
    <t>МЕТОДЫ, МОДЕЛИ, СРЕДСТВА ХРАНЕНИЯ И ОБРАБОТКИ ДАННЫХ</t>
  </si>
  <si>
    <t>Дадян Э.Г., Зеленков Ю.А.</t>
  </si>
  <si>
    <t>978-5-9558-0490-3</t>
  </si>
  <si>
    <t>02.03.02, 02.03.03, 03.03.02, 01.03.04, 09.03.01, 09.03.04, 02.04.03, 01.04.04, 02.04.01, 02.04.02, 01.04.02, 02.03.01, 01.03.02, 09.03.03</t>
  </si>
  <si>
    <t>286700.09.01</t>
  </si>
  <si>
    <t>Микропроцессорные системы: Уч. / В.В.Гуров - М.:НИЦ ИНФРА-М,2023.-336 с.-(ВО: Бакалавриат)(П)</t>
  </si>
  <si>
    <t>МИКРОПРОЦЕССОРНЫЕ СИСТЕМЫ</t>
  </si>
  <si>
    <t>Гуров В.В.</t>
  </si>
  <si>
    <t>978-5-16-009950-7</t>
  </si>
  <si>
    <t>23.02.06, 15.02.07, 09.03.01, 09.03.04, 09.03.02, 09.04.03, 09.04.01, 09.04.04, 09.04.02, 09.03.03</t>
  </si>
  <si>
    <t>Допущено Учебно-методическим объединением по образованию в области прикладной информатики в качестве учебника для студентов высших учебных заведений, обучающихся по направлению 09.03.03 «Прикладная информатика»</t>
  </si>
  <si>
    <t>711172.08.01</t>
  </si>
  <si>
    <t>Микропроцессорные системы: Уч. / В.В.Гуров - М.:НИЦ ИНФРА-М,2024 - 336 с.(СПО)(П)</t>
  </si>
  <si>
    <t>978-5-16-015323-0</t>
  </si>
  <si>
    <t>09.02.01, 09.02.05, 10.02.02, 10.02.03, 09.02.07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</si>
  <si>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</si>
  <si>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108350.12.01</t>
  </si>
  <si>
    <t>Многомерный стат. анализ в эконом. задачах: Уч. пос. / Под ред. И.В. Орловой - Вуз. уч.,2024 - 310с.(П)</t>
  </si>
  <si>
    <t>МНОГОМЕРНЫЙ СТАТИСТИЧЕСКИЙ АНАЛИЗ В ЭКОНОМИЧЕСКИХ ЗАДАЧАХ: КОМПЬЮТЕРНОЕ МОДЕЛИРОВАНИЕ В SPSS</t>
  </si>
  <si>
    <t>Концевая Н.В., Орлова И.В., Турундаевский В.Б. и др.</t>
  </si>
  <si>
    <t>978-5-9558-0108-7</t>
  </si>
  <si>
    <t>38.03.01, 38.03.05, 38.03.06, 38.03.07, 38.03.02, 38.03.04</t>
  </si>
  <si>
    <t>Рекомендовано Научно-методическим советом по заочному экономическому образованию в качестве учебного пособия для студентов высших учебных заведений, обучающихся по экономическим специальностям</t>
  </si>
  <si>
    <t>668586.03.01</t>
  </si>
  <si>
    <t>Многоэтапный анализ архитект. надеж.и синтез..: Моногр. / А.С.Кузнецов-М.:НИЦ ИНФРА-М, СФУ,2024-143с(о)</t>
  </si>
  <si>
    <t>МНОГОЭТАПНЫЙ АНАЛИЗ АРХИТЕКТУРНОЙ НАДЕЖНОСТИ И СИНТЕЗ ОТКАЗОУСТОЙЧИВОГО ПРОГРАММНОГО ОБЕСПЕЧЕНИЯ СЛОЖНЫХ СИСТЕМ</t>
  </si>
  <si>
    <t>Кузнецов А.С., Ченцов С.В., Царев Р.Ю.</t>
  </si>
  <si>
    <t>978-5-16-018977-2</t>
  </si>
  <si>
    <t>09.04.01, 09.04.02, 09.06.01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</si>
  <si>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</si>
  <si>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</si>
  <si>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</t>
  </si>
  <si>
    <t>Башкатов А.М.</t>
  </si>
  <si>
    <t>978-5-16-016162-4</t>
  </si>
  <si>
    <t>15.02.08, 15.02.07, 09.02.03, 09.02.04, 09.02.05, 15.02.09, 09.02.07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</si>
  <si>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</si>
  <si>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Приднестровский Государственный университет им. Т. Г. Шевченко</t>
  </si>
  <si>
    <t>674630.03.01</t>
  </si>
  <si>
    <t>Моделирование в OpenSCAD: на примерах: Уч.пос. / А.М.Башкатов-М.:НИЦ ИНФРА-М,2023.-333 с.(ВО)(П)</t>
  </si>
  <si>
    <t>МОДЕЛИРОВАНИЕ В OPENSCAD: НА ПРИМЕРАХ</t>
  </si>
  <si>
    <t>978-5-16-013011-8</t>
  </si>
  <si>
    <t>09.03.01, 15.03.02, 15.03.01, 15.03.04, 09.03.03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</si>
  <si>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09.03.01 «Информатика и вычислительная техника», 09.03.03 «Прикладная информатика», 15.03.02 «Технологические машины и оборудование» (квалификация (степень) «бакалавр») (протокол № 15 от 14.10.2019)</t>
  </si>
  <si>
    <t>475750.11.01</t>
  </si>
  <si>
    <t>Моделирование сис. защиты информ.: Практ.: Уч.пос. / А.В.Бабаш - 3 изд.-М.:ИЦ РИОР, НИЦ ИНФРА-М,2023-320 с.(ВО)(О)</t>
  </si>
  <si>
    <t>МОДЕЛИРОВАНИЕ СИСТЕМЫ ЗАЩИТЫ ИНФОРМАЦИИ: ПРАКТИКУМ, ИЗД.3</t>
  </si>
  <si>
    <t>Бабаш А.В., Баранова Е.К.</t>
  </si>
  <si>
    <t>978-5-369-01848-4</t>
  </si>
  <si>
    <t>46.03.02, 10.03.01, 10.04.01, 38.04.05, 10.05.04, 10.05.02, 38.03.05, 09.03.03</t>
  </si>
  <si>
    <t>Рекомендовано Учебно-методическим объединением по образованию в области прикладной информатики в качестве учебного пособия для студентов высших учебных заведений, обучающихся по направлению «Прикладная информатика»</t>
  </si>
  <si>
    <t>0320</t>
  </si>
  <si>
    <t>475750.05.01</t>
  </si>
  <si>
    <t>Моделирование сист. защиты..:Практ.: Уч.пос./Е.К.Баранова - 2изд.-М.:ИЦ РИОР, НИЦ ИНФРА-М,2019-224с.(ВО)(О)</t>
  </si>
  <si>
    <t>МОДЕЛИРОВАНИЕ СИСТЕМЫ ЗАЩИТЫ ИНФОРМАЦИИ: ПРАКТИКУМ, ИЗД.2</t>
  </si>
  <si>
    <t>Баранова Е. К., Бабаш А. В.</t>
  </si>
  <si>
    <t>978-5-369-01559-9</t>
  </si>
  <si>
    <t>301600.09.01</t>
  </si>
  <si>
    <t>Моделирование систем упр.с прим.Matlab:Уч.пос./А.Н.Тимохин-М.:НИЦ ИНФРА-М,2024-256с(ВО)(п)</t>
  </si>
  <si>
    <t>МОДЕЛИРОВАНИЕ СИСТЕМ УПРАВЛЕНИЯ С ПРИМЕНЕНИЕМ MATLAB</t>
  </si>
  <si>
    <t>Тимохин А.Н., Румянцев Ю.Д., Тимохин А.Н.</t>
  </si>
  <si>
    <t>978-5-16-019422-6</t>
  </si>
  <si>
    <t>15.03.04, 15.04.04</t>
  </si>
  <si>
    <t>Рекомендовано в качестве учебного пособия для студентов высших учебных заведений, обучающихся по направлению подготовки 15.03.04 «Автоматизация технологических процессов и производств» (квалификация (степень) «бакалавр»)</t>
  </si>
  <si>
    <t>684154.03.01</t>
  </si>
  <si>
    <t>Моделирование фин.-хоз. деят. компании в Project Expert: Уч.пос. / Я.Л.Гобарева-М.:НИЦ ИНФРА-М,2023-197с(П)</t>
  </si>
  <si>
    <t>МОДЕЛИРОВАНИЕ ФИНАНСОВО-ХОЗЯЙСТВЕННОЙ ДЕЯТЕЛЬНОСТИ КОМПАНИИ В PROJECT EXPERT</t>
  </si>
  <si>
    <t>978-5-16-014387-3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</si>
  <si>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</si>
  <si>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668583.02.01</t>
  </si>
  <si>
    <t>Мультиверсионное програм.обеспеч....: Моногр./ Р.Ю.Царев.-М.:НИЦ ИНФРА-М, СФУ,2023-117с(Науч.мысль)</t>
  </si>
  <si>
    <t>МУЛЬТИВЕРСИОННОЕ ПРОГРАММНОЕ ОБЕСПЕЧЕНИЕ. АЛГОРИТМЫ ГОЛОСОВАНИЯ И ОЦЕНКА НАДЁЖНОСТИ</t>
  </si>
  <si>
    <t>Царев Р.Ю., Штарик А.В., Штарик Е.Н.</t>
  </si>
  <si>
    <t>978-5-16-013283-9</t>
  </si>
  <si>
    <t>09.04.03, 09.04.01, 09.04.04, 09.04.02, 09.06.01</t>
  </si>
  <si>
    <t>719163.02.01</t>
  </si>
  <si>
    <t>Наукометрический аппарат исслед. в сфере соврем. образ.: Моногр./В.А.Дадалко-М.:НИЦ ИНФРА-М,2024-182с.(О)</t>
  </si>
  <si>
    <t>НАУКОМЕТРИЧЕСКИЙ АППАРАТ ИССЛЕДОВАНИЙ В СФЕРЕ СОВРЕМЕННОГО ОБРАЗОВАНИЯ</t>
  </si>
  <si>
    <t>Дадалко В.А.</t>
  </si>
  <si>
    <t>978-5-16-014920-2</t>
  </si>
  <si>
    <t>00.03.16, 00.05.16, 00.04.16</t>
  </si>
  <si>
    <t>797754.01.01</t>
  </si>
  <si>
    <t>Обеспечение информац. безопас. в сети Интернет: Моногр. / А.А.Максуров-М.:НИЦ ИНФРА-М,2023.-226 с.(п)</t>
  </si>
  <si>
    <t>ОБЕСПЕЧЕНИЕ ИНФОРМАЦИОННОЙ БЕЗОПАСНОСТИ В СЕТИ ИНТЕРНЕТ</t>
  </si>
  <si>
    <t>Максуров А.А.</t>
  </si>
  <si>
    <t>978-5-16-018251-3</t>
  </si>
  <si>
    <t>10.04.01, 40.04.01, 10.05.04, 40.05.01, 40.05.02, 10.05.01, 10.05.03, 10.05.05, 10.05.02, 10.06.01, 40.06.01, 10.05.07</t>
  </si>
  <si>
    <t>Ярославский государственный университет им. П.Г. Демидова</t>
  </si>
  <si>
    <t>Апрель, 2023</t>
  </si>
  <si>
    <t>700689.02.01</t>
  </si>
  <si>
    <t>Обобщенные графы и грамматики: Уч.пос. / А.И.Миков - М.:НИЦ ИНФРА-М,2023 - 192 с.(ВО: Магистр/)(П)</t>
  </si>
  <si>
    <t>ОБОБЩЕННЫЕ ГРАФЫ И ГРАММАТИКИ</t>
  </si>
  <si>
    <t>Миков А.И.</t>
  </si>
  <si>
    <t>978-5-16-014970-7</t>
  </si>
  <si>
    <t>02.04.03, 02.04.01, 02.04.02, 09.04.03, 09.04.01, 09.04.04, 09.04.02, 09.05.01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</si>
  <si>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укрупненным группам направлений подготовки 02.00.00 «Компьютерные и информационные науки», 09.00.00 «Информатика и вычислительная техника» (квалификация (степень) «магистр») (протокол № 12 от 14.12.2020)</t>
  </si>
  <si>
    <t>Кубанский государственный университет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</si>
  <si>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</si>
  <si>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</si>
  <si>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</t>
  </si>
  <si>
    <t>978-5-16-017373-3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</si>
  <si>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</si>
  <si>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666958.04.01</t>
  </si>
  <si>
    <t>Обработка эксперимент. данных на ЭВМ: Уч. / О.С.Логунова - 2 изд.-М.:НИЦ ИНФРА-М,2023.-377 с.(ВО)(П)</t>
  </si>
  <si>
    <t>ОБРАБОТКА ЭКСПЕРИМЕНТАЛЬНЫХ ДАННЫХ НА ЭВМ, ИЗД.2</t>
  </si>
  <si>
    <t>Логунова О.С., Романов П.Ю., Ильина Е.А.</t>
  </si>
  <si>
    <t>Высшее образование: Аспирантура</t>
  </si>
  <si>
    <t>978-5-16-015870-9</t>
  </si>
  <si>
    <t>Профессиональное образование / ВО - Кадры высшей квалификации / Аспирантура</t>
  </si>
  <si>
    <t>15.02.07, 09.03.01, 09.03.04, 09.03.02, 11.03.02, 09.04.03, 09.04.01, 09.04.04, 09.04.02, 09.03.03, 09.05.01</t>
  </si>
  <si>
    <t>Рекомендовано Межрегиональным учебно-методическим советом профессионального образования в качестве учебника при подготовке кадров высшей квалификации по программам подготовки научно-педагогических кадров в аспирантуре (протокол № 8 от 22.06.2020)</t>
  </si>
  <si>
    <t>Магнитогорский государственный технический университет им. Г.И. Носова</t>
  </si>
  <si>
    <t>666958.02.01</t>
  </si>
  <si>
    <t>Обработка экспериментальных данных на ЭВМ: Уч. / О.С.Логунова и др.-М.:НИЦ ИНФРА-М,2019.-326с(ВО)(П)</t>
  </si>
  <si>
    <t>ОБРАБОТКА ЭКСПЕРИМЕНТАЛЬНЫХ ДАННЫХ НА ЭВМ</t>
  </si>
  <si>
    <t>Логунова О.С., Романов П.Ю., Ильина Е.А. и др.</t>
  </si>
  <si>
    <t>978-5-16-013461-1</t>
  </si>
  <si>
    <t>Рекомендовано в качестве учебника для студентов высших учебных заведений, обучающихся по направлениям подготовки 09.03.01 «Информатика и вычислительная техника», 09.03.02 «Информационные системы и технологии», 09.03.03 «Прикладная информатика» 09.03.04 «Программная инженерия» (квалификация (степень) «бакалавр»)</t>
  </si>
  <si>
    <t>340200.05.01</t>
  </si>
  <si>
    <t>Объектно-ориент. прогр. на Visual Basic в ср.Visual Studio.Net/В.Н.Шакин-М.:Форум, НИЦ ИНФРА-М,2023-400с.(П)</t>
  </si>
  <si>
    <t>ОБЪЕКТНО-ОРИЕНТИРОВАННОЕ ПРОГРАММИРОВАНИЕ НА VISUAL BASIC В СРЕДЕ VISUAL STUDIO .NET</t>
  </si>
  <si>
    <t>В.Н.Шакин, А.В.Загвоздкина, Г.К.Сосновиков</t>
  </si>
  <si>
    <t>978-5-00091-048-1</t>
  </si>
  <si>
    <t>09.02.03, 02.03.02, 03.03.02, 01.03.04, 09.03.01, 09.03.04, 09.03.02, 02.04.01, 02.04.02, 09.04.03, 09.04.01, 09.04.04, 09.04.02, 02.03.01, 09.03.03</t>
  </si>
  <si>
    <t>717829.06.01</t>
  </si>
  <si>
    <t>Объектно-ориентир. программир. с примерами на C#: Уч.пос. / П.Б.Хорев-М.:Форум, НИЦ ИНФРА-М,2023.-200 с.(О)</t>
  </si>
  <si>
    <t>ОБЪЕКТНО-ОРИЕНТИРОВАННОЕ ПРОГРАММИРОВАНИЕ С ПРИМЕРАМИ НА C#</t>
  </si>
  <si>
    <t>Хорев П.Б.</t>
  </si>
  <si>
    <t>978-5-00091-713-8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</si>
  <si>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</si>
  <si>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462400.05.01</t>
  </si>
  <si>
    <t>Объектно-ориентир. программир. с примерами на C#: Уч.пос. / П.Б.Хорев-М.:Форум, НИЦ ИНФРА-М,2023.-200с(ВО)(О)</t>
  </si>
  <si>
    <t>978-5-00091-680-3</t>
  </si>
  <si>
    <t>02.03.02, 04.03.02, 03.03.02, 09.03.01, 01.03.02, 09.03.03</t>
  </si>
  <si>
    <t>Рекомендовано в качестве учебного пособия для студентов высших учебных заведений, обучающихся по направлениям 01.03.02 «Прикладная математика и информатика» и 09.00.00 «Информатика и вычислительная техника»</t>
  </si>
  <si>
    <t>682998.03.01</t>
  </si>
  <si>
    <t>Объектно-ориентир.програм.на Visual Basic...: Уч.пос./В.Н.Шакин-М.:Форум,НИЦ ИНФРА-М,2024-398с.(СПО)(П)</t>
  </si>
  <si>
    <t>Шакин В.Н., Загвоздкина А.В., Сосновиков Г.К.</t>
  </si>
  <si>
    <t>978-5-00091-551-6</t>
  </si>
  <si>
    <t>11.02.14, 11.02.07, 11.02.09, 11.02.10, 11.02.11, 09.02.02, 09.02.01, 09.02.03, 09.02.04, 09.02.05, 10.02.02, 10.02.03, 10.02.01</t>
  </si>
  <si>
    <t>041930.25.01</t>
  </si>
  <si>
    <t>Операционные сис., среды и оболочки: Уч.пос. / Т.Л.Партыка - 5 изд. - М.:Форум, НИЦ ИНФРА-М,2024-560 с.(СПО)</t>
  </si>
  <si>
    <t>ОПЕРАЦИОННЫЕ СИСТЕМЫ, СРЕДЫ И ОБОЛОЧКИ, ИЗД.5</t>
  </si>
  <si>
    <t>978-5-00091-501-1</t>
  </si>
  <si>
    <t>678060.09.01</t>
  </si>
  <si>
    <t>Операционные системы и среды: Уч. для СПО / А.В.Рудаков - М.:КУРС, НИЦ ИНФРА-М,2024 - 304 с.(П)</t>
  </si>
  <si>
    <t>ОПЕРАЦИОННЫЕ СИСТЕМЫ И СРЕДЫ</t>
  </si>
  <si>
    <t>Рудаков А.В.</t>
  </si>
  <si>
    <t>978-5-906923-85-1</t>
  </si>
  <si>
    <t>09.02.01, 09.02.03, 09.02.05</t>
  </si>
  <si>
    <t>Петровский колледж</t>
  </si>
  <si>
    <t>683001.05.01</t>
  </si>
  <si>
    <t>Операционные системы. Основы UNIX: Уч.пос. / А.Б.Вавренюк - М.:НИЦ ИНФРА-М,2023 - 160 с.-(СПО)(П)</t>
  </si>
  <si>
    <t>ОПЕРАЦИОННЫЕ СИСТЕМЫ. ОСНОВЫ UNIX</t>
  </si>
  <si>
    <t>Вавренюк А.Б., Курышева О.К., Кутепов С.В. и др.</t>
  </si>
  <si>
    <t>978-5-16-013981-4</t>
  </si>
  <si>
    <t>09.02.02, 09.02.03, 09.02.04, 09.02.05</t>
  </si>
  <si>
    <t>353700.07.01</t>
  </si>
  <si>
    <t>Операционные системы. Основы UNIX: Уч.пос. / А.Б.Вавренюк - М.:НИЦ ИНФРА-М,2023 - 160с(ВО:Бакалавр.)(О)</t>
  </si>
  <si>
    <t>978-5-16-010893-3</t>
  </si>
  <si>
    <t>09.02.03, 02.03.02, 09.03.03</t>
  </si>
  <si>
    <t>Допущено Учебно-методическим объединением по образованию в области прикладной информатики в качестве учебного пособия для студентов, обучающихся по направлению 09.03.03 «Прикладная информатика»</t>
  </si>
  <si>
    <t>745643.04.01</t>
  </si>
  <si>
    <t>Организационное и тех. обеспеч. информац. безоп...: Уч.пос. / В.Я.Ищейнов - М.:НИЦ ИНФРА-М,2023 - 256 с(П)</t>
  </si>
  <si>
    <t>ОРГАНИЗАЦИОННОЕ И ТЕХНИЧЕСКОЕ ОБЕСПЕЧЕНИЕ ИНФОРМАЦИОННОЙ БЕЗОПАСНОСТИ. ЗАЩИТА КОНФИДЕНЦИАЛЬНОЙ ИНФОРМАЦИИ</t>
  </si>
  <si>
    <t>Ищейнов В.Я., Мецатунян М.В.</t>
  </si>
  <si>
    <t>978-5-16-016535-6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</si>
  <si>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укрупненной группе  специальностей 10.05.00 «Информационная безопасность» (протокол № 8 от 22.06.2020)</t>
  </si>
  <si>
    <t>Политехнический колледж № 8 имени дважды Героя Советского Союза И.Ф. Павлова</t>
  </si>
  <si>
    <t>265600.07.01</t>
  </si>
  <si>
    <t>Организационное и техническое обеспеч. информ..:Уч.пос./В.Я.Ищейнов -2 изд.-Форум:ИНФРА-М,2024-256с.(п)</t>
  </si>
  <si>
    <t>ОРГАНИЗАЦИОННОЕ И ТЕХНИЧЕСКОЕ ОБЕСПЕЧЕНИЕ ИНФОРМАЦИОННОЙ БЕЗОПАСНОСТИ. ЗАЩИТА КОНФИДЕНЦИАЛЬНОЙ ИНФОРМАЦИИ, ИЗД.2</t>
  </si>
  <si>
    <t>978-5-00091-506-6</t>
  </si>
  <si>
    <t>Рекомендовано Учебно-методическим объединением по образованию в области историко-архивоведения в качестве учебного пособия для студентов высших учебных заведений, обучающихся по направлению подготовки 10.03.01 «Информационная безопасность»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</si>
  <si>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</si>
  <si>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</si>
  <si>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</t>
  </si>
  <si>
    <t>Зверева В.П., Назаров А.В.</t>
  </si>
  <si>
    <t>978-5-906818-96-6</t>
  </si>
  <si>
    <t>31.02.01, 10.02.01, 10.03.01</t>
  </si>
  <si>
    <t>354000.07.01</t>
  </si>
  <si>
    <t>Организация сетевого администрирования: Уч. / А.И.Баранчиков.-М.:КУРС, НИЦ ИНФРА-М,2024-384с(СПО)(П)</t>
  </si>
  <si>
    <t>ОРГАНИЗАЦИЯ СЕТЕВОГО АДМИНИСТРИРОВАНИЯ</t>
  </si>
  <si>
    <t>Баранчиков А.И., Баранчиков П.А., Громов А.Ю. и др.</t>
  </si>
  <si>
    <t>978-5-906818-34-8</t>
  </si>
  <si>
    <t>09.02.02, 09.02.06</t>
  </si>
  <si>
    <t>364300.07.01</t>
  </si>
  <si>
    <t>Основные положения информац. безоп.: Уч.пос. / В.Я.Ищейнов-М.:Форум, НИЦ ИНФРА-М,2023.-208 с.(СПО)(П)</t>
  </si>
  <si>
    <t>ОСНОВНЫЕ ПОЛОЖЕНИЯ ИНФОРМАЦИОННОЙ БЕЗОПАСНОСТИ</t>
  </si>
  <si>
    <t>978-5-00091-489-2</t>
  </si>
  <si>
    <t>09.02.02, 09.02.04, 09.02.05, 46.03.02, 10.03.01, 38.03.05, 09.03.03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</si>
  <si>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</si>
  <si>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693069.04.01</t>
  </si>
  <si>
    <t>Основы автоматизир.проектир.: Уч. / Под ред. Карпенко А.П. - М.:НИЦ ИНФРА-М,2023 - 329 с.(СПО)(П)</t>
  </si>
  <si>
    <t>ОСНОВЫ АВТОМАТИЗИРОВАННОГО ПРОЕКТИРОВАНИЯ</t>
  </si>
  <si>
    <t>Божко А.Н., Волосатова Т.М., Грошев С.В. и др.</t>
  </si>
  <si>
    <t>978-5-16-014441-2</t>
  </si>
  <si>
    <t>15.01.36, 15.01.26, 15.01.27, 15.02.08, 15.02.07, 09.02.02, 09.02.01, 09.02.03, 09.02.04, 09.02.05, 15.02.14, 15.02.15, 15.01.32, 15.01.33, 15.01.34, 15.01.35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</si>
  <si>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</si>
  <si>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303300.09.01</t>
  </si>
  <si>
    <t>Основы автоматизированного проектирования: Уч. / Карпенко А.П.-М.:НИЦ ИНФРА-М,2022.-329 с.(ВО: Бакалавр.)(П)</t>
  </si>
  <si>
    <t>978-5-16-010213-9</t>
  </si>
  <si>
    <t>Допущено Учебно-методическим объединением вузов по университетскому политехническому образованию в качестве учебника для студентов высших учебных заведений, обучающихся по направлению подготовки 09.03.01 «Информатика и вычислительная техника» (квалификация (степень) «бакалавр»)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</si>
  <si>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</si>
  <si>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</si>
  <si>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</t>
  </si>
  <si>
    <t>Фризен И.Г.</t>
  </si>
  <si>
    <t>978-5-00091-005-4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</si>
  <si>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</si>
  <si>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</si>
  <si>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680933.02.01</t>
  </si>
  <si>
    <t>Основы алгоритм. и программир. на языке Microsoft Visual Basic: Уч.пос./ С.Р.Гуриков-М.:НИЦ ИНФРА-М,2022-594 с.(СПО)(П)</t>
  </si>
  <si>
    <t>ОСНОВЫ АЛГОРИТМИЗАЦИИ И ПРОГРАММИРОВАНИЯ НА ЯЗЫКЕ MICROSOFT VISUAL BASIC</t>
  </si>
  <si>
    <t>978-5-16-014442-9</t>
  </si>
  <si>
    <t>09.02.01, 09.02.03, 09.02.04, 09.02.05, 10.02.03, 09.02.06, 09.02.07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</si>
  <si>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</si>
  <si>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438500.09.01</t>
  </si>
  <si>
    <t>Основы алгоритмизации и программир.  в среде LAZARUS: Уч.пос. / С.Р.Гуриков-М.:НИЦ ИНФРА-М,2024.-336 с.(ВО)(П)</t>
  </si>
  <si>
    <t>ОСНОВЫ АЛГОРИТМИЗАЦИИ И ПРОГРАММИРОВАНИЯ  В СРЕДЕ LAZARUS</t>
  </si>
  <si>
    <t>978-5-16-017638-3</t>
  </si>
  <si>
    <t>09.03.01, 09.03.04, 09.03.02, 10.03.01, 09.04.02, 10.05.04, 10.05.01, 10.05.03, 10.05.05, 10.05.02, 27.03.04, 09.03.03, 09.05.01, 10.05.07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</si>
  <si>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09.00.00 «Информатика и вычислительная техника» (квалификация (степень) «бакалавр») (протокол № 10 от 15.12.2021)</t>
  </si>
  <si>
    <t>650404.09.01</t>
  </si>
  <si>
    <t>Основы алгоритмизации и программир. на Python: Уч.пос. / С.Р.Гуриков-М.:НИЦ ИНФРА-М,2023.-343 с.(ВО)(П)</t>
  </si>
  <si>
    <t>ОСНОВЫ АЛГОРИТМИЗАЦИИ И ПРОГРАММИРОВАНИЯ НА PYTHON</t>
  </si>
  <si>
    <t>978-5-16-017142-5</t>
  </si>
  <si>
    <t>03.03.02, 05.03.04, 09.03.01, 38.04.05, 27.03.04, 38.03.05, 45.03.04</t>
  </si>
  <si>
    <t>Рекомендовано в качестве учебного пособия для студентов высших учебных заведений, обучающихся по направлениям подготовки 09.03.01 «Информатика и вычислительная техника», 09.03.02 «Информационные системы и технологии» (квалификация (степень) «бакалавр»)</t>
  </si>
  <si>
    <t>683004.06.01</t>
  </si>
  <si>
    <t>Основы алгоритмизации и программир. на Python: Уч.пос. / С.Р.Гуриков-М.:НИЦ ИНФРА-М,2023.-343 с.(СПО)(П)</t>
  </si>
  <si>
    <t>978-5-16-016906-4</t>
  </si>
  <si>
    <t>038960.12.01</t>
  </si>
  <si>
    <t>Основы алгоритмизации и программир.: Уч. пос. /О.Л.Голицына - 4 изд. - Форум:ИНФРА-М, 2023-431c.(СПО)</t>
  </si>
  <si>
    <t>ОСНОВЫ АЛГОРИТМИЗАЦИИ И ПРОГРАММИРОВАНИЯ, ИЗД.4</t>
  </si>
  <si>
    <t>Голицына О. Л., Попов И. И.</t>
  </si>
  <si>
    <t>978-5-91134-731-4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</si>
  <si>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</si>
  <si>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0415</t>
  </si>
  <si>
    <t>074950.15.01</t>
  </si>
  <si>
    <t>Основы алгоритмизации и программир.: Уч.пос. / Гагарина Л.Г.-М.:ИД ФОРУМ, НИЦ ИНФРА-М,2022.-414с(П)</t>
  </si>
  <si>
    <t>ОСНОВЫ АЛГОРИТМИЗАЦИИ И ПРОГРАММИРОВАНИЯ</t>
  </si>
  <si>
    <t>Колдаев В. Д., Гагарина Л. Г.</t>
  </si>
  <si>
    <t>978-5-8199-0733-7</t>
  </si>
  <si>
    <t>09.02.02, 09.02.01, 09.02.03, 09.02.04, 09.02.05, 02.03.02, 04.03.02, 02.03.03, 03.03.02, 05.03.04, 01.03.04, 09.03.01, 09.03.04, 09.03.03, 44.03.01, 44.03.05, 45.03.04, 50.03.01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</si>
  <si>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</si>
  <si>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689797.01.01</t>
  </si>
  <si>
    <t>Основы алгоритмизации и программирования на Visual C++: Уч.пос. / С.Р.Гуриков - М.:НИЦ ИНФРА-М,2022-515 с.(П)</t>
  </si>
  <si>
    <t>ОСНОВЫ АЛГОРИТМИЗАЦИИ И ПРОГРАММИРОВАНИЯ НА VISUAL C++</t>
  </si>
  <si>
    <t>978-5-16-015500-5</t>
  </si>
  <si>
    <t>00.03.03, 02.03.02, 03.03.02, 09.03.01, 01.03.02, 38.03.05, 09.03.03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</si>
  <si>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11.03.02 «Инфокоммуникационные технологии и системы связи», 09.03.01 «Информатика и вычислительная техника», 10.03.01 «Информационная безопасность», 15.03.04 «Автоматизация технологических процессов и производств» (квалификация (степень) «бакалавр») (протокол № 10 от 15.12.2021)</t>
  </si>
  <si>
    <t>653023.07.01</t>
  </si>
  <si>
    <t>Основы архитектуры,устройство и функц. вычисл.сист.: Уч./В.В.Степина-М.:КУРС,НИЦ ИНФРА-М,2023-288(П)</t>
  </si>
  <si>
    <t>ОСНОВЫ АРХИТЕКТУРЫ, УСТРОЙСТВО И ФУНКЦИОНИРОВАНИЕ ВЫЧИСЛИТЕЛЬНЫХ СИСТЕМ</t>
  </si>
  <si>
    <t>Степина Вера Владимировна</t>
  </si>
  <si>
    <t>978-5-906923-19-6</t>
  </si>
  <si>
    <t>09.02.04</t>
  </si>
  <si>
    <t>745642.01.01</t>
  </si>
  <si>
    <t>Основы информ. безоп. предпр.: Уч.пос. / Н.В.Гришина - М.:НИЦ ИНФРА-М,2021 - 216 с.(ВО)(П)</t>
  </si>
  <si>
    <t>ОСНОВЫ ИНФОРМАЦИОННОЙ БЕЗОПАСНОСТИ ПРЕДПРИЯТИЯ</t>
  </si>
  <si>
    <t>978-5-16-016534-9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</si>
  <si>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программам специалитета (протокол № 8 от 22.06.2020)</t>
  </si>
  <si>
    <t>771587.01.01</t>
  </si>
  <si>
    <t>Основы информ. технолог.: Уч.пос. / Под ред. Гагариной Л.Г. - 2 изд. - М.:НИЦ ИНФРА-М,2022 - 346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</si>
  <si>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</si>
  <si>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</si>
  <si>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</si>
  <si>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</si>
  <si>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414750.05.01</t>
  </si>
  <si>
    <t>Основы информатики и защиты информации: Уч.пос. / Е.К.Баранова-М.:ИЦ РИОР, НИЦ ИНФРА-М,2024.-183 с.(ВО)(п)</t>
  </si>
  <si>
    <t>ОСНОВЫ ИНФОРМАТИКИ И ЗАЩИТЫ ИНФОРМАЦИИ</t>
  </si>
  <si>
    <t>Баранова Е. К.</t>
  </si>
  <si>
    <t>978-5-369-01169-0</t>
  </si>
  <si>
    <t>09.03.01, 10.03.01, 10.04.01, 09.04.01</t>
  </si>
  <si>
    <t>Рекомендовано Учебно-методическим объединением по образованию в области прикладной информатики в качестве учебного пособия для студентов высших учебных заведений, обучающихся по специальности 080801 «Прикладная информатика» и другим экономическим спе</t>
  </si>
  <si>
    <t>050260.10.01</t>
  </si>
  <si>
    <t>Основы информатики: Уч.пос. / М.В.Жаров и др. - 2 изд. - М.:Форум,НИЦ ИНФРА-М,2023 - 288 с.-(СПО)</t>
  </si>
  <si>
    <t>ОСНОВЫ ИНФОРМАТИКИ, ИЗД.2</t>
  </si>
  <si>
    <t>Жаров М. В., Палтиевич А. Р., Соколов А. В.</t>
  </si>
  <si>
    <t>978-5-91134-232-6</t>
  </si>
  <si>
    <t>00.02.03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</si>
  <si>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</si>
  <si>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</si>
  <si>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</si>
  <si>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</si>
  <si>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</si>
  <si>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978-5-16-016719-0</t>
  </si>
  <si>
    <t>21.02.06, 11.02.07, 10.02.02, 10.02.03, 10.02.01, 10.02.04, 10.02.05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</si>
  <si>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</si>
  <si>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116800.14.01</t>
  </si>
  <si>
    <t>Основы информационной безопасности предп.: Уч.пос. / Н.В.Гришина-М.:НИЦ ИНФРА-М,2024-216с(П)</t>
  </si>
  <si>
    <t>978-5-16-015105-2</t>
  </si>
  <si>
    <t>690263.03.01</t>
  </si>
  <si>
    <t>Основы информационной безопасности: Уч. / Е.К.Баранова - М.:ИЦ РИОР, НИЦ ИНФРА-М,2022.-202 с.(СПО)(П)</t>
  </si>
  <si>
    <t>ОСНОВЫ ИНФОРМАЦИОННОЙ БЕЗОПАСНОСТИ</t>
  </si>
  <si>
    <t>978-5-369-01806-4</t>
  </si>
  <si>
    <t>09.02.02, 09.02.01, 09.02.03, 09.02.04, 09.02.05, 10.02.02, 10.02.03, 10.02.01, 09.02.06, 09.02.07</t>
  </si>
  <si>
    <t>747296.06.01</t>
  </si>
  <si>
    <t>Основы информационной безопасности: Уч.пос. / Ю.Н.Сычев - М.:НИЦ ИНФРА-М,2024 - 337с.(СПО)(п)</t>
  </si>
  <si>
    <t>978-5-16-019432-5</t>
  </si>
  <si>
    <t>10.02.02, 10.02.03, 10.02.01, 10.02.04, 10.02.05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</si>
  <si>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</si>
  <si>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142600.08.01</t>
  </si>
  <si>
    <t>Основы логического проектирования: Уч. пос. / В.Д. Колдаев - М.: ИД ФОРУМ, 2022 - 448 с.(ВО) (П)</t>
  </si>
  <si>
    <t>ОСНОВЫ ЛОГИЧЕСКОГО ПРОЕКТИРОВАНИЯ</t>
  </si>
  <si>
    <t>Колдаев В. Д.</t>
  </si>
  <si>
    <t>978-5-8199-0458-9</t>
  </si>
  <si>
    <t>Рекомендовано Научно-метод. советом Мос. госуд. инстит. электрон. техники (Технич. универ.) в кач. учеб. пос. для студ.,обуч. по группе спец. "Прогр. обеспеч. ВТ и автоматиз. систем", "Вычисл. машины, комплексы, сист. и сети","Сист. автом. проект."</t>
  </si>
  <si>
    <t>101400.07.01</t>
  </si>
  <si>
    <t>Основы методики социологического исследования: Уч.пос. / Е.П.Тавокин-М.:ИНФРА-М,2017.-239 с.-(ВО)(П)</t>
  </si>
  <si>
    <t>ОСНОВЫ МЕТОДИКИ СОЦИОЛОГИЧЕСКОГО ИССЛЕДОВАНИЯ</t>
  </si>
  <si>
    <t>Тавокин Е. П.</t>
  </si>
  <si>
    <t>ИНФРА-М Издательский Дом</t>
  </si>
  <si>
    <t>978-5-16-003473-7</t>
  </si>
  <si>
    <t>39.04.01, 38.04.03, 39.03.01</t>
  </si>
  <si>
    <t>Рекомендовано Учебно-методическим объединением по классическому университетскому образованию РФ в качестве учебного пособия для студентов высших учебных заведений, обучающихся по специальности  "Социология"</t>
  </si>
  <si>
    <t>Российская академия народного хозяйства и государственной службы при Президенте РФ</t>
  </si>
  <si>
    <t>349500.04.01</t>
  </si>
  <si>
    <t>Основы моделирования в САПР NX: Уч.пос. / А.О.Бутко - 2 изд.-М.:НИЦ ИНФРА-М,2023.-199 с.(ВО)(П)</t>
  </si>
  <si>
    <t>ОСНОВЫ МОДЕЛИРОВАНИЯ В САПР NX, ИЗД.2</t>
  </si>
  <si>
    <t>Бутко А.О., Прудников В.А., Цырков Г.А.</t>
  </si>
  <si>
    <t>978-5-16-010847-6</t>
  </si>
  <si>
    <t>15.02.07, 09.03.01, 16.03.03, 15.03.03, 24.03.01</t>
  </si>
  <si>
    <t>Рекомендовано в качестве учебного пособия для студентов высших учебных заведений, обучающихся по направлению подготовки 09.03.01 «Информатика и вычислительная техника»</t>
  </si>
  <si>
    <t>138850.09.01</t>
  </si>
  <si>
    <t>Основы правовой информатики и информатиз. правовых сис.: Уч.пос. / В.М.Казиев.-2 изд.-М.:Вуз.уч.,ИНФРА-М, 2022-336с(п)</t>
  </si>
  <si>
    <t>ОСНОВЫ ПРАВОВОЙ ИНФОРМАТИКИ И ИНФОРМАТИЗАЦИИ ПРАВОВЫХ СИСТЕМ, ИЗД.2</t>
  </si>
  <si>
    <t>Казиев В. М., Казиев К. В., Казиева Б. В.</t>
  </si>
  <si>
    <t>978-5-9558-0494-1</t>
  </si>
  <si>
    <t>02.03.02, 02.03.03, 40.03.01, 09.03.01, 09.03.04, 09.03.02, 09.03.03</t>
  </si>
  <si>
    <t>Рекомендовано в качестве учебного пособия для студентов высших учебных заведений, обучающихся по направлению поготовки 09.03.02 «Информационные системы и технологии»</t>
  </si>
  <si>
    <t>Кабардино-Балкарский государственный университет им. Х.М. Бербекова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</si>
  <si>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</si>
  <si>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</si>
  <si>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</t>
  </si>
  <si>
    <t>Дорогов В.Г., Дорогова Е.Г., Гагарина Л.Г.</t>
  </si>
  <si>
    <t>978-5-8199-0809-9</t>
  </si>
  <si>
    <t>09.02.03, 02.03.02, 03.03.02, 38.03.05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</si>
  <si>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</si>
  <si>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683030.04.01</t>
  </si>
  <si>
    <t>Основы программир.на языке Objective-C для iOS: Уч.пос. / А.В.Кузин-М.:НИЦ ИНФРА-М,2024-118с(СПО)(О)</t>
  </si>
  <si>
    <t>ОСНОВЫ ПРОГРАММИРОВАНИЯ НА ЯЗЫКЕ OBJECTIVE-C ДЛЯ IOS</t>
  </si>
  <si>
    <t>Кузин А.В., Чумакова Е.В.</t>
  </si>
  <si>
    <t>978-5-16-013986-9</t>
  </si>
  <si>
    <t>631892.04.01</t>
  </si>
  <si>
    <t>Основы программирования на яз.Objective-C для iOS: Уч.пос./А.В.Кузин-М.:НИЦ ИНФРА-М,2023-118с(ВО)(о)</t>
  </si>
  <si>
    <t>978-5-16-005042-3</t>
  </si>
  <si>
    <t>09.02.03, 02.03.02, 09.03.01, 09.03.04, 09.03.02, 09.03.03</t>
  </si>
  <si>
    <t>Рекомендовано в качестве учебного пособия для студентов высших учебных заведений, обучающихся по направлениям подготовки 09.03.04 «Программная инженерия», 09.03.01 «Информатика и вычислительная техника», 09.03.02 «Информационные системы и технологии», 09.03.03 «Прикладная информатика» (квалификация (степень) «бакалавр»)</t>
  </si>
  <si>
    <t>151650.11.01</t>
  </si>
  <si>
    <t>Основы программирования на языке С: Уч.пос. / В.Г. Дорогов - М.: ИД ФОРУМ:ИНФРА-М, 2021-224с.(ВО)</t>
  </si>
  <si>
    <t>978-5-8199-0882-2</t>
  </si>
  <si>
    <t>09.03.04, 09.04.04</t>
  </si>
  <si>
    <t>Рекомендовано Учебно-методическим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высших учебных заведений, обучающихся по направлению «Информатика и вычислительная техника» и по основной образовательной программе подготовки бакалавров «Программная инженерия»</t>
  </si>
  <si>
    <t>151650.14.01</t>
  </si>
  <si>
    <t>Основы программирования на языке С: Уч.пос. / Л.Г.Гагарина, - 2 изд.-М.:НИЦ ИНФРА-М,2024.-269 с.(ВО)(п)</t>
  </si>
  <si>
    <t>ОСНОВЫ ПРОГРАММИРОВАНИЯ НА ЯЗЫКЕ С, ИЗД.2</t>
  </si>
  <si>
    <t>Гагарина Л.Г., Дорогова Е.Г.</t>
  </si>
  <si>
    <t>978-5-16-015470-1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</si>
  <si>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</si>
  <si>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771233.04.01</t>
  </si>
  <si>
    <t>Основы проектирования баз данных: Уч.пос. / В.Н.Шитов-М.:НИЦ ИНФРА-М,2024.-236 с.(СПО)(п)</t>
  </si>
  <si>
    <t>ОСНОВЫ ПРОЕКТИРОВАНИЯ БАЗ ДАННЫХ</t>
  </si>
  <si>
    <t>978-5-16-017461-7</t>
  </si>
  <si>
    <t>09.02.04, 09.02.06, 09.02.07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</si>
  <si>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</si>
  <si>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</si>
  <si>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</si>
  <si>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</si>
  <si>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</si>
  <si>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</si>
  <si>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</si>
  <si>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777707.01.01</t>
  </si>
  <si>
    <t>Основы проектирования и разработки информ. систем: Уч.пос. / Л.Г.Гагарина-М.:НИЦ ИНФРА-М,2024.-211 с.(п)</t>
  </si>
  <si>
    <t>ОСНОВЫ ПРОЕКТИРОВАНИЯ И РАЗРАБОТКИ ИНФОРМАЦИОННЫХ СИСТЕМ</t>
  </si>
  <si>
    <t>Гагарина Л.Г., Шевнина Ю.С.</t>
  </si>
  <si>
    <t>978-5-16-017759-5</t>
  </si>
  <si>
    <t>09.03.04, 09.04.03, 22.04.01, 27.04.04, 09.04.04, 09.06.01, 27.06.01, 09.03.03</t>
  </si>
  <si>
    <t>328400.10.01</t>
  </si>
  <si>
    <t>Основы работы в Microsoft Office 2013: Уч.пос. / А.В.Кузин-М.:Форум, НИЦ ИНФРА-М,2024.-160 с..-(ВО)(о)</t>
  </si>
  <si>
    <t>ОСНОВЫ РАБОТЫ В MICROSOFT OFFICE 2013</t>
  </si>
  <si>
    <t>978-5-00091-024-5</t>
  </si>
  <si>
    <t>00.05.03, 00.03.03, 13.02.11, 09.03.01</t>
  </si>
  <si>
    <t>686660.02.01</t>
  </si>
  <si>
    <t>Основы теории и алгоритмы на графах: Уч.пос. / Н.И.Гданский - М.:НИЦ ИНФРА-М,2022 - 206 с.(ВО: Бакалавр.)(П)</t>
  </si>
  <si>
    <t>ОСНОВЫ ТЕОРИИ И АЛГОРИТМЫ НА ГРАФАХ</t>
  </si>
  <si>
    <t>Гданский Н.И.</t>
  </si>
  <si>
    <t>978-5-16-014386-6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</si>
  <si>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09.03.00 «Информатика и вычислительная техника» (квалификация (степень) «бакалавр») (протокол № 17 от 11.11.2019)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</si>
  <si>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</si>
  <si>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</si>
  <si>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</si>
  <si>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</si>
  <si>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</si>
  <si>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</si>
  <si>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</si>
  <si>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</si>
  <si>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</si>
  <si>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</si>
  <si>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</si>
  <si>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</si>
  <si>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447150.08.01</t>
  </si>
  <si>
    <t>Основы теории надежности информ. сис.: Уч.пос. / С.А.Мартишин - М.:ИД ФОРУМ, НИЦ ИНФРА-М,2023-255с(ВО)</t>
  </si>
  <si>
    <t>ОСНОВЫ ТЕОРИИ НАДЕЖНОСТИ ИНФОРМАЦИОННЫХ СИСТЕМ</t>
  </si>
  <si>
    <t>Мартишин С. А., Симонов В. Л., Храпченко М. В.</t>
  </si>
  <si>
    <t>978-5-8199-0757-3</t>
  </si>
  <si>
    <t>09.03.04, 09.03.02, 09.04.02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</si>
  <si>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09.03.02 «Информационные системы и технологии»</t>
  </si>
  <si>
    <t>186600.08.01</t>
  </si>
  <si>
    <t>Оценка качества програм. обеспеч.: Практ.: Уч. пос./Б.В.Черников - ИД ФОРУМ:Инфра-М, 2023-400с.(ВО) (П)</t>
  </si>
  <si>
    <t>ОЦЕНКА КАЧЕСТВА ПРОГРАММНОГО ОБЕСПЕЧЕНИЯ: ПРАКТИКУМ</t>
  </si>
  <si>
    <t>Черников Б. В., Поклонов Б. Е., Черников Б. В.</t>
  </si>
  <si>
    <t>978-5-8199-0516-6</t>
  </si>
  <si>
    <t>02.04.03, 38.04.05, 38.03.05</t>
  </si>
  <si>
    <t>Рекомендовано Учебно-методическим объединением вузов России по образованию в области экономики, менеджмента, логистики и бизнес-информатики в качестве учебного пособия для студ. вузов, обуч. по напр. подготовки 080700 "Бизнес-информатика"</t>
  </si>
  <si>
    <t>473250.05.01</t>
  </si>
  <si>
    <t>Оценка относительного ущерба безоп. информ. сис.: Моногр. / Е.А.Дубинин - М:РИОР:ИНФРА-М,2024 - 192 с (о)</t>
  </si>
  <si>
    <t>ОЦЕНКА ОТНОСИТЕЛЬНОГО УЩЕРБА БЕЗОПАСНОСТИ ИНФОРМАЦИОННОЙ СИСТЕМЫ</t>
  </si>
  <si>
    <t>Дубинин Е.А., Тебуева Ф.Б., Копытов В.В.</t>
  </si>
  <si>
    <t>978-5-369-01371-7</t>
  </si>
  <si>
    <t>10.03.01, 10.04.01, 10.05.04, 10.05.05, 10.05.02, 38.03.05, 09.03.03</t>
  </si>
  <si>
    <t>682642.02.01</t>
  </si>
  <si>
    <t>Пакет прикладных программ: Уч.пос. / В.Н.Шитов - М.:НИЦ ИНФРА-М,2023 - 334 с.(СПО)(П)</t>
  </si>
  <si>
    <t>ПАКЕТ ПРИКЛАДНЫХ ПРОГРАММ</t>
  </si>
  <si>
    <t>978-5-16-014542-6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</si>
  <si>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</si>
  <si>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172800.04.01</t>
  </si>
  <si>
    <t>Паскаль для школьников: Уч.пос. / В.Б.Попов - М.:ИЦ РИОР, НИЦ ИНФРА-М,2018 - 374 с.(П) [12+]</t>
  </si>
  <si>
    <t>ПАСКАЛЬ ДЛЯ ШКОЛЬНИКОВ</t>
  </si>
  <si>
    <t>Попов В. Б.</t>
  </si>
  <si>
    <t>978-5-369-01038-9</t>
  </si>
  <si>
    <t>Общее образование / Среднее общее образование</t>
  </si>
  <si>
    <t>09.02.03, 09.02.05, 03.03.02, 09.03.01, 09.04.03, 09.03.03</t>
  </si>
  <si>
    <t>795700.01.01</t>
  </si>
  <si>
    <t>Педагогическое применение мультимедиа-средств: Уч.пос. / Н.В.Гафурова - 2изд.-М.:НИЦ ИНФРА-М,2023.-203с(п)</t>
  </si>
  <si>
    <t>ПЕДАГОГИЧЕСКОЕ ПРИМЕНЕНИЕ МУЛЬТИМЕДИА-СРЕДСТВ, ИЗД.2</t>
  </si>
  <si>
    <t>Гафурова Н.В., Чурилова Е.Ю.</t>
  </si>
  <si>
    <t>Высшее образование: Бакалавриат (СФУ)</t>
  </si>
  <si>
    <t>978-5-16-018095-3</t>
  </si>
  <si>
    <t>44.03.01, 44.03.05, 44.03.04</t>
  </si>
  <si>
    <t>Учебное издание в его скорректированной редакции рекомендуется федеральным государственным бюджетным образовательным учреждением высшего профессионального образования «Российский государственный педагогический университет имени А.И. Герцена» к использованию в образовательных учреждениях в процессе преподавания дисциплины «Педагогическое применение мультимедиа-средств» профиля «Профессиональное обучение (информатика и вычислительная техника)»</t>
  </si>
  <si>
    <t>0223</t>
  </si>
  <si>
    <t>726962.05.01</t>
  </si>
  <si>
    <t>Передача, хранение и обработка больших объемов...: Уч.пос. / А.А.Григорьев.-М.:НИЦ ИНФРА-М,2024.-207 с.(ВО)(П)</t>
  </si>
  <si>
    <t>ПЕРЕДАЧА, ХРАНЕНИЕ И ОБРАБОТКА БОЛЬШИХ ОБЪЕМОВ НАУЧНЫХ ДАННЫХ</t>
  </si>
  <si>
    <t>Григорьев А.А., Исаев Е.А., Тарасов П.А.</t>
  </si>
  <si>
    <t>978-5-16-018850-8</t>
  </si>
  <si>
    <t>09.03.01, 38.03.05, 09.03.03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</si>
  <si>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информатика», 09.03.01 «Информатика и вычислительная техника», 38.03.05 Бизнес-информатика» (квалификация (степень) «бакалавр») (протокол № 10 от 12.10.2020)</t>
  </si>
  <si>
    <t>087750.10.01</t>
  </si>
  <si>
    <t>Периферийные устройства вычисл. техники: Уч.пос. / Т.Л.Партыка, - 3 изд.-М.:Форум, НИЦ ИНФРА-М,2023.-432 с.(СПО)(П)</t>
  </si>
  <si>
    <t>ПЕРИФЕРИЙНЫЕ УСТРОЙСТВА ВЫЧИСЛИТЕЛЬНОЙ ТЕХНИКИ, ИЗД.3</t>
  </si>
  <si>
    <t>978-5-91134-594-5</t>
  </si>
  <si>
    <t>Допущено Мин. обр. и науки РФ в качестве учебного пособия для студентов учреждений среднего профессионального образования</t>
  </si>
  <si>
    <t>148740.04.01</t>
  </si>
  <si>
    <t>Персональная база данных для менеджера: Уч.пос.+CD / В.В.Валентинов-М.:Форум,НИЦ ИНФРА-М,2018-224(О)</t>
  </si>
  <si>
    <t>ПЕРСОНАЛЬНАЯ БАЗА ДАННЫХ ДЛЯ МЕНЕДЖЕРА</t>
  </si>
  <si>
    <t>Валентинов В.В., Князева М.Д.</t>
  </si>
  <si>
    <t>978-5-91134-477-1</t>
  </si>
  <si>
    <t>39.00.00, 38.02.04, 38.02.05, 38.02.06, 38.02.07, 38.02.01, 38.02.02, 38.02.03</t>
  </si>
  <si>
    <t>382000.04.01</t>
  </si>
  <si>
    <t>Планирование виртуальных вычислений: Уч.пос. / А.Б.Барский-М.:ИД ФОРУМ, НИЦ ИНФРА-М,2023-200с(ВО)(П)</t>
  </si>
  <si>
    <t>ПЛАНИРОВАНИЕ ВИРТУАЛЬНЫХ ВЫЧИСЛЕНИЙ</t>
  </si>
  <si>
    <t>Барский А.Б.</t>
  </si>
  <si>
    <t>978-5-8199-0655-2</t>
  </si>
  <si>
    <t>06.04.01, 09.04.03, 09.04.01, 09.04.04, 09.04.02</t>
  </si>
  <si>
    <t>Рекомендовано научно-методическим советом федерального государственного бюджетного образовательного учреждения высшего образования «Московский государственный университет путей сообщения (МИИТ)» в качестве учебного пособия для студентов, обучающихся по направлениям подготовки 09.03.01 и 09.04.01 «Информатика и вычислительная техника» (бакалавриат и магистратура), профиль «Вычислительные машины, комплексы, системы и сети», и 10.03.01 «Информационная безопасность» (бакалавриат), профиль «Безопасность компьютерных систем»</t>
  </si>
  <si>
    <t>655198.06.01</t>
  </si>
  <si>
    <t>Подготовка и редактир.док.в MS WORD: Уч.пос. / Е.А.Баринова - М.:КУРС, НИЦ ИНФРА-М,2023 - 184 с.(П)</t>
  </si>
  <si>
    <t>ПОДГОТОВКА И РЕДАКТИРОВАНИЕ ДОКУМЕНТОВ В MS WORD</t>
  </si>
  <si>
    <t>Баринова Е.А., Березина А.С., Пылькин А.Н. и др.</t>
  </si>
  <si>
    <t>978-5-906923-23-3</t>
  </si>
  <si>
    <t>00.05.03, 00.03.03, 46.03.02</t>
  </si>
  <si>
    <t>261500.06.01</t>
  </si>
  <si>
    <t>Поддержка принятия решений при проект. систем..: Моногр. / В.В.Бухтояров-М.:НИЦ ИНФРА-М,2020-131с(О)</t>
  </si>
  <si>
    <t>ПОДДЕРЖКА ПРИНЯТИЯ РЕШЕНИЙ ПРИ ПРОЕКТИРОВАНИИ СИСТЕМ ЗАЩИТЫ ИНФОРМАЦИИ</t>
  </si>
  <si>
    <t>Ковалев И.В., Золотарев В.В., Жукова М.Н. и др.</t>
  </si>
  <si>
    <t>978-5-16-009519-6</t>
  </si>
  <si>
    <t>46.03.02, 09.03.01, 10.03.01, 27.03.02, 10.04.01, 01.04.04, 27.04.03, 10.05.04, 10.05.01, 10.05.03, 10.05.05, 10.05.02, 10.05.07</t>
  </si>
  <si>
    <t>401950.11.01</t>
  </si>
  <si>
    <t>Практикум по Microsoft Office 2007 / Л.В.Кравченко - 2 изд. -М.:Форум,НИЦ ИНФРА-М,2023-168с.(ПО)(о)</t>
  </si>
  <si>
    <t>ПРАКТИКУМ ПО MICROSOFT OFFICE 2007 (WORD, EXCEL, ACCESS), PHOTOSHOP, ИЗД.2</t>
  </si>
  <si>
    <t>Кравченко Л.В.</t>
  </si>
  <si>
    <t>978-5-00091-008-5</t>
  </si>
  <si>
    <t>, 15.02.10</t>
  </si>
  <si>
    <t>081850.06.01</t>
  </si>
  <si>
    <t>Практикум по бизнес-планированию с исп. Project..: Уч.пос./В.С.Алиев-2изд-Форум:ИНФРА-М,2019-288(ВО)(П)</t>
  </si>
  <si>
    <t>ПРАКТИКУМ ПО БИЗНЕС-ПЛАНИРОВАНИЮ С ИСПОЛЬЗОВАНИЕМ ПРОГРАММЫ PROJECT EXPERT, ИЗД.2</t>
  </si>
  <si>
    <t>Алиев В. С.</t>
  </si>
  <si>
    <t>978-5-91134-394-1</t>
  </si>
  <si>
    <t>Допущено УМО по образованию в области финансов, учета и мировой экономики в качестве учебного пособия для студентов, обуч. по спец: "Финансы и кредит",  "Бухгалтерский учет, анализ и аудит", "Налоги и налогообложение</t>
  </si>
  <si>
    <t>087900.20.01</t>
  </si>
  <si>
    <t>Практикум по инф.: Уч.пос.Комп.гр. и Web-дизайн. /Т.И.Немцова -М.:ИД ФОРУМ, НИЦ ИНФРА-М,2024-288с(П)</t>
  </si>
  <si>
    <t>ПРАКТИКУМ ПО ИНФОРМАТИКЕ</t>
  </si>
  <si>
    <t>Немцова Т. И., Назарова Ю. В., Гагарина Л. Г.</t>
  </si>
  <si>
    <t>978-5-8199-0800-6</t>
  </si>
  <si>
    <t>13.02.07, 10.02.05, 09.02.07, 00.02.03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</si>
  <si>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</si>
  <si>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280900.08.01</t>
  </si>
  <si>
    <t>Практикум по методам оптимизации: Практикум / О.А.Сдвижков - М.:Вуз. уч., НИЦ ИНФРА-М,2024-200 с.(П)</t>
  </si>
  <si>
    <t>ПРАКТИКУМ ПО МЕТОДАМ ОПТИМИЗАЦИИ</t>
  </si>
  <si>
    <t>Сдвижков О.А.</t>
  </si>
  <si>
    <t>978-5-9558-0372-2</t>
  </si>
  <si>
    <t>38.04.01, 38.04.02, 38.04.05, 38.03.01, 38.03.05, 38.03.02, 41.03.06</t>
  </si>
  <si>
    <t>Российский государственный университет туризма и сервиса</t>
  </si>
  <si>
    <t>657735.04.01</t>
  </si>
  <si>
    <t>Практикум по реш. задач на ЭВМ в среде Delphi:Уч.пос. / П.Ю.Бунаков-М:Форум,НИЦ ИНФРА-М,2019-304с(П)</t>
  </si>
  <si>
    <t>ПРАКТИКУМ ПО РЕШЕНИЮ ЗАДАЧ НА ЭВМ В СРЕДЕ DELPHI</t>
  </si>
  <si>
    <t>Бунаков П.Ю., Лопатин А.К.</t>
  </si>
  <si>
    <t>978-5-00091-481-6</t>
  </si>
  <si>
    <t>02.03.02, 03.03.02, 01.03.04, 09.03.01, 38.04.05, 01.03.02, 38.03.05</t>
  </si>
  <si>
    <t>Рекомендовано в качестве учебного пособия  для студентов высших учебных заведений, обучающихся по направлениям подготовки 03.03.02 «Прикладная математика и информатика», 09.03.01 «Информатика и вычислительная техника» 38.03.05 «Бизнес-информатика» (квалификация (степень) «бакалавр»)</t>
  </si>
  <si>
    <t>Государственный социально-гуманитарный университет</t>
  </si>
  <si>
    <t>683092.02.01</t>
  </si>
  <si>
    <t>Практикум по реш.задач на ЭВМ в среде Delphi: Уч.пос./П.Ю.Бунаков-М.:Форум, НИЦ ИНФРА-М,2023-304с(П)</t>
  </si>
  <si>
    <t>978-5-00091-554-7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</si>
  <si>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</si>
  <si>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200800.09.01</t>
  </si>
  <si>
    <t>Прикладные информ. технологии: Уч.пос. / Е.Л.Федотова - М.:ИД ФОРУМ, НИЦ ИНФРА-М,2023 - 336 с.(ВО)(П)</t>
  </si>
  <si>
    <t>ПРИКЛАДНЫЕ ИНФОРМАЦИОННЫЕ ТЕХНОЛОГИИ</t>
  </si>
  <si>
    <t>Федотова Е. Л., Портнов Е. М.</t>
  </si>
  <si>
    <t>978-5-8199-0538-8</t>
  </si>
  <si>
    <t>38.03.02, 38.03.04, 41.03.06</t>
  </si>
  <si>
    <t>Рекомендовано Научно-методическим советом Московского социально-гуманитарного института в качестве учебного пособия для студентов, обучающихся по профилю «Информационный менеджмент» направления 080200.62 «Менеджмент»</t>
  </si>
  <si>
    <t>719224.03.01</t>
  </si>
  <si>
    <t>Прикладные информац. технологии: Уч.пос./ Е.Л.Федотова-М.:ИД ФОРУМ, НИЦ ИНФРА-М,2023-335 с.(СПО)(П)</t>
  </si>
  <si>
    <t>978-5-8199-0897-6</t>
  </si>
  <si>
    <t>09.02.02, 09.02.03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</si>
  <si>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</si>
  <si>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</si>
  <si>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</si>
  <si>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</si>
  <si>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</si>
  <si>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38.02.04, 38.02.05, 38.02.06, 38.02.07, 38.02.01, 38.02.02, 38.02.03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</si>
  <si>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</si>
  <si>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169700.07.01</t>
  </si>
  <si>
    <t>Применение информ. систем в эконом.: Уч. пос. / А.М.Карминский - М.:ИД ФОРУМ:  ИНФРА-М, 2022-320с.(ВО) (п)</t>
  </si>
  <si>
    <t>978-5-8199-0495-4</t>
  </si>
  <si>
    <t>38.04.02, 38.03.01, 38.03.02</t>
  </si>
  <si>
    <t>694403.02.01</t>
  </si>
  <si>
    <t>Программирование в САПР...: Уч.пос. / В.Ф.Лянг - Москва:НИЦ ИНФРА-М,2023 - 249 с.(П)</t>
  </si>
  <si>
    <t>ПРОГРАММИРОВАНИЕ В САПР: ПРОСТРАНСТВЕННОЕ МОДЕЛИРОВАНИЕ КОЛОННОГО АППАРАТА В СРЕДЕ AUTODESK INVENTOR</t>
  </si>
  <si>
    <t>Лянг В.Ф.</t>
  </si>
  <si>
    <t>978-5-16-014573-0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</si>
  <si>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укрупненной  группе направлений подготовки 09.03.00 «Информатика и вычислительная техника» (квалификация (степень) «бакалавр») (протокол № 3 от 17.03.2021)</t>
  </si>
  <si>
    <t>694402.01.01</t>
  </si>
  <si>
    <t>Программирование в САПР: Уч.пос. / В.Ф.Лянг-М.:НИЦ ИНФРА-М,2022.-476 с.(П)</t>
  </si>
  <si>
    <t>ПРОГРАММИРОВАНИЕ В САПР: ПРОСТРАНСТВЕННОЕ МОДЕЛИРОВАНИЕ АППАРАТА ВОЗДУШНОГО ОХЛАЖДЕНИЯ В СРЕДЕ AUTODESK INVENTOR</t>
  </si>
  <si>
    <t>978-5-16-014572-3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</si>
  <si>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09.03.00 «Информатика и вычислительная техника» (квалификация (степень) «бакалавр») (протокол № 3 от 09.03.2022)</t>
  </si>
  <si>
    <t>683097.05.01</t>
  </si>
  <si>
    <t>Программирование в среде Lazarus: Уч.пос. / С.Р.Гуриков-М.:Форум, НИЦ ИНФРА-М,2023.-336 с..-(СПО)(П)</t>
  </si>
  <si>
    <t>ПРОГРАММИРОВАНИЕ В СРЕДЕ LAZARUS</t>
  </si>
  <si>
    <t>978-5-00091-555-4</t>
  </si>
  <si>
    <t>637286.13.01</t>
  </si>
  <si>
    <t>Программирование графики на С++. Теор...: Уч.пос./В.И.Корнеев -М.:ИД ФОРУМ,НИЦ ИНФРА-М,2023-517с(ВО)</t>
  </si>
  <si>
    <t>ПРОГРАММИРОВАНИЕ ГРАФИКИ НА С++. ТЕОРИЯ И ПРИМЕРЫ</t>
  </si>
  <si>
    <t>978-5-16-017914-8</t>
  </si>
  <si>
    <t>15.02.08, 02.03.02, 04.03.02, 02.03.03, 03.03.02, 01.03.04, 09.03.04, 09.04.04, 01.03.02</t>
  </si>
  <si>
    <t>Рекомендовано федеральным государственным автономным образовательным учреждением высшего образования «Национальный исследовательский университет "Московский институт электронной техники"» в качестве учебного пособия для студентов, обучающихся по направлению подготовки 09.04.04 «Программная инженерия» и группам направлений 11.03.04 «Электроника и наноэлектроника» и 11.03.02 «Инфокоммуникационные технологии и системы связи»</t>
  </si>
  <si>
    <t>432450.07.01</t>
  </si>
  <si>
    <t>Программирование и основы алгоритмизации..: Уч.пос. / А.В.Затонский - 2 изд. - РИОР:ИНФРА-М,2024-167с.(п)</t>
  </si>
  <si>
    <t>ПРОГРАММИРОВАНИЕ И ОСНОВЫ АЛГОРИТМИЗАЦИИ. ТЕОРЕТИЧЕСКИЕ ОСНОВЫ И ПРИМЕРЫ РЕАЛИЗАЦИИ ЧИСЛЕННЫХ МЕТОДОВ, ИЗД.2</t>
  </si>
  <si>
    <t>Затонский А.В., Бильфельд Н.В.</t>
  </si>
  <si>
    <t>978-5-369-01195-9</t>
  </si>
  <si>
    <t>15.03.04</t>
  </si>
  <si>
    <t>Допущено Учебно-методическим объединением вузов по образованию в области автоматизированного машиностроения (УМО AM) в качестве учебного пособия для студентов высших учебных заведений, обучающихся по направлению подготовки дипломированных специалисто</t>
  </si>
  <si>
    <t>719617.02.01</t>
  </si>
  <si>
    <t>Программирование на яз. высокого уровня....: Уч.пос. / Под ред. Гагариной Л.Г.-М.:ИД ФОРУМ, НИЦ ИНФРА-М,2023-496с(П)</t>
  </si>
  <si>
    <t>ПРОГРАММИРОВАНИЕ НА ЯЗЫКЕ ВЫСОКОГО УРОВНЯ. ПРОГРАММИРОВАНИЕ НА ЯЗЫКЕ OBJECT PASCAL</t>
  </si>
  <si>
    <t>Немцова Т.И., Голова С.Ю., Абрамова И.В. и др.</t>
  </si>
  <si>
    <t>978-5-8199-0901-0</t>
  </si>
  <si>
    <t>02.03.02, 04.03.02, 03.03.02, 05.03.04, 09.03.01, 09.03.04, 09.03.02, 11.03.02, 22.03.01, 38.04.05, 01.03.02, 38.03.05, 09.03.03, 45.03.04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</si>
  <si>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09.03.00 «Информатика и вычислительная техника» (квалификация (степень) «бакалавр») (протокол № 12 от 24.06.2019)</t>
  </si>
  <si>
    <t>101650.16.01</t>
  </si>
  <si>
    <t>Программирование на яз.высокого уров.: Уч.пос./Т.И.Немцова -М.:ИД ФОРУМ,НИЦ ИНФРА-М,2023-496c(ПО)(п)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</si>
  <si>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</si>
  <si>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</si>
  <si>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</si>
  <si>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</si>
  <si>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092600.13.01</t>
  </si>
  <si>
    <t>Программирование на языках высокого уровня: Уч.пос. / О.Л.Голицына-М.:Форум,2024.-496 с.(СПО)(п)</t>
  </si>
  <si>
    <t>ПРОГРАММИРОВАНИЕ НА ЯЗЫКАХ ВЫСОКОГО УРОВНЯ</t>
  </si>
  <si>
    <t>978-5-91134-209-8</t>
  </si>
  <si>
    <t>683098.02.01</t>
  </si>
  <si>
    <t>Программирование на языке Си: Справ.: Уч.пос. / А.В.Кузин-М.:Форум, НИЦ ИНФРА-М,2023.-143 с.(СПО)(О)</t>
  </si>
  <si>
    <t>ПРОГРАММИРОВАНИЕ НА ЯЗЫКЕ СИ</t>
  </si>
  <si>
    <t>978-5-00091-556-1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</si>
  <si>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</si>
  <si>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355100.08.01</t>
  </si>
  <si>
    <t>Программирование на языке Си: Уч.пос. / А.В.Кузин - М.:Форум, НИЦ ИНФРА-М,2023 - 143 с..-(ВО)(О)</t>
  </si>
  <si>
    <t>978-5-00091-066-5</t>
  </si>
  <si>
    <t>09.02.03, 02.03.02, 03.03.02, 01.03.04, 02.04.01, 02.04.02, 01.04.02, 02.03.01, 01.03.02</t>
  </si>
  <si>
    <t>165400.12.01</t>
  </si>
  <si>
    <t>Программирование на языке...: Уч.пос. / Под ред. Гагариной Л.Г.-М.:ИД Форум, НИЦ ИНФРА-М,2024.-512 с.(П)</t>
  </si>
  <si>
    <t>ПРОГРАММИРОВАНИЕ НА ЯЗЫКЕ ВЫСОКОГО УРОВНЯ. ПРОГРАММИРОВАНИЕ НА ЯЗЫКЕ С++</t>
  </si>
  <si>
    <t>Немцова Т.И., Голова С.Ю., Терентьев А.И. и др.</t>
  </si>
  <si>
    <t>978-5-8199-0699-6</t>
  </si>
  <si>
    <t>09.03.04, 09.03.03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</si>
  <si>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</si>
  <si>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653848.03.01</t>
  </si>
  <si>
    <t>Программная инженерия информ.- упр. сис. в свете...: Уч.пос. / В.М.Трояновский-М.:ИД ФОРУМ,2024-325с.(п)</t>
  </si>
  <si>
    <t>ПРОГРАММНАЯ ИНЖЕНЕРИЯ ИНФОРМАЦИОННО-УПРАВЛЯЮЩИХ СИСТЕМ В СВЕТЕ ПРИКЛАДНОЙ ТЕОРИИ СЛУЧАЙНЫХ ПРОЦЕССОВ</t>
  </si>
  <si>
    <t>Трояновский В.М.</t>
  </si>
  <si>
    <t>Высшее образование : Магистратура</t>
  </si>
  <si>
    <t>978-5-8199-0824-2</t>
  </si>
  <si>
    <t>09.04.03, 27.04.02, 11.04.04, 11.04.03, 11.04.01, 11.04.02, 27.04.03, 15.04.04, 09.04.01, 09.04.04, 09.04.02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</si>
  <si>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09.04.04 «Программная инженерия», 11.04.01 «Радиотехника», 27.04.02 «Управление качеством» (квалификация (степень) «магистр»)</t>
  </si>
  <si>
    <t>683100.05.01</t>
  </si>
  <si>
    <t>Программно-аппарат.защита инфор.: Уч.пос. / П.Б.Хорев, - 2 изд.,-М.:Форум, НИЦ ИНФРА-М,2023-352с(П)</t>
  </si>
  <si>
    <t>ПРОГРАММНО-АППАРАТНАЯ ЗАЩИТА ИНФОРМАЦИИ, ИЗД.2</t>
  </si>
  <si>
    <t>978-5-00091-557-8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</si>
  <si>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</si>
  <si>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112450.13.01</t>
  </si>
  <si>
    <t>Программно-аппаратная защита информ.: Уч.пос. / П.Б.Хорев - 3 изд. - М.:НИЦ ИНФРА-М,2022 - 327 с.(ВО)(П)</t>
  </si>
  <si>
    <t>ПРОГРАММНО-АППАРАТНАЯ ЗАЩИТА ИНФОРМАЦИИ, ИЗД.3</t>
  </si>
  <si>
    <t>978-5-16-015471-8</t>
  </si>
  <si>
    <t>09.03.01, 10.03.01, 10.04.01, 09.04.03, 10.05.01, 09.03.03</t>
  </si>
  <si>
    <t>Рекомендовано Учебно-методическим объединением вузов Российской Федерации по образованию в области историко-архивоведения в качестве учебного пособия для студентов высших учебных заведений, обучающихся по направлению «Информационная безопасность»</t>
  </si>
  <si>
    <t>112450.10.01</t>
  </si>
  <si>
    <t>Программно-аппаратная защита информ.: Уч.пос. / П.Б.Хорев-2 изд., испр. и доп.-М.:Форум, НИЦ ИНФРА-М,2019-352с(ВО)</t>
  </si>
  <si>
    <t>978-5-00091-709-1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</si>
  <si>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</si>
  <si>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</si>
  <si>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</t>
  </si>
  <si>
    <t>Лисьев Г.А., Романов П.Ю., Аскерко Ю.И.</t>
  </si>
  <si>
    <t>978-5-16-014514-3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</si>
  <si>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</si>
  <si>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Южно-Уральский государственный гуманитарно-педагогический университет</t>
  </si>
  <si>
    <t>665679.05.01</t>
  </si>
  <si>
    <t>Программное обесп.компьютерных сетей и web-серверов: Уч.пос. /Г.А.Лисьев М.:НИЦ ИНФРА-М,2023-145с(П)</t>
  </si>
  <si>
    <t>978-5-16-013565-6</t>
  </si>
  <si>
    <t>09.02.03, 09.03.01, 09.03.04, 09.03.02, 10.03.01, 10.05.04, 10.05.01, 10.05.03, 10.05.05, 10.05.02, 09.03.03, 44.03.05, 44.03.04, 10.05.07</t>
  </si>
  <si>
    <t>Рекомендовано Учебно-методическим советом высшего образования в качестве учебного пособия  для студентов высших учебных заведений, обучающихся по направлениям подготовки 44.03.04 «Профессиональное обучение», 09.03.01 «Информатика и вычислительная техника», 09.03.03 «Прикладная информатика» (квалификация (степень) «бакалавр»)</t>
  </si>
  <si>
    <t>156650.19.01</t>
  </si>
  <si>
    <t>Программное обеспеч. компьютерных сетей: Уч.пос. / О.В.Исаченко - 2 изд. - М.:НИЦ ИНФРА-М,2024-158с.(О)</t>
  </si>
  <si>
    <t>ПРОГРАММНОЕ ОБЕСПЕЧЕНИЕ КОМПЬЮТЕРНЫХ СЕТЕЙ, ИЗД.2</t>
  </si>
  <si>
    <t>Исаченко О.В.</t>
  </si>
  <si>
    <t>978-5-16-015447-3</t>
  </si>
  <si>
    <t>09.02.02, 09.02.01, 09.02.03, 09.02.04, 09.02.05, 09.03.04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</si>
  <si>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</si>
  <si>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</si>
  <si>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</si>
  <si>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</si>
  <si>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</si>
  <si>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</si>
  <si>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069600.12.01</t>
  </si>
  <si>
    <t>Программное обеспечение: Уч. пос./О.Л.Голицына - 4 изд. - М.: Форум: НИЦ Инфра-М, 2023- 448с(ПО)(п)</t>
  </si>
  <si>
    <t>ПРОГРАММНОЕ ОБЕСПЕЧЕНИЕ, ИЗД.4</t>
  </si>
  <si>
    <t>Голицына О. Л., Партыка Т. Л., Попов И. И.</t>
  </si>
  <si>
    <t>978-5-91134-711-6</t>
  </si>
  <si>
    <t>09.02.02, 09.02.01, 09.02.03, 09.02.04, 09.02.05, 08.02.03, 09.03.04, 18.02.12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</si>
  <si>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</si>
  <si>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</si>
  <si>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432550.04.01</t>
  </si>
  <si>
    <t>Программные средства глобал. оптим.систем..:Моногр./ А.В.Затонский-М.:ИЦ РИОР,НИЦ ИНФРА-М,2024-136с.</t>
  </si>
  <si>
    <t>ПРОГРАММНЫЕ СРЕДСТВА ГЛОБАЛЬНОЙ ОПТИМИЗАЦИИ СИСТЕМ АВТОМАТИЧЕСКОГО РЕГУЛИРОВАНИЯ</t>
  </si>
  <si>
    <t>978-5-369-01196-6</t>
  </si>
  <si>
    <t>09.03.01, 09.03.04, 09.03.02, 12.03.01, 15.03.04, 01.04.02, 09.04.03, 15.04.04, 09.04.01, 09.04.04, 09.04.02, 01.03.02, 09.03.03, 09.05.01</t>
  </si>
  <si>
    <t>652160.04.01</t>
  </si>
  <si>
    <t>Проектирование и 3D модел. в средах CATIA V5, ANSYS и Dymola 7.3: Уч.пос./ И.И.Косенко -М.:НИЦ ИНФРА-М,2023-183с.(ВО)(П)</t>
  </si>
  <si>
    <t>ПРОЕКТИРОВАНИЕ И 3D МОДЕЛИРОВАНИЕ В СРЕДАХ CATIA V5, ANSYS И DYMOLA 7.3</t>
  </si>
  <si>
    <t>Косенко И.И., Кузнецова Л.В., Николаев А.В. и др.</t>
  </si>
  <si>
    <t>978-5-16-012754-5</t>
  </si>
  <si>
    <t>15.03.02, 15.03.01, 15.03.03, 15.03.04, 15.03.05, 23.03.03</t>
  </si>
  <si>
    <t>Рекомендовано в качестве учебного пособия для студентов высших учебных заведений, обучающихся по направлениям подготовки укрупненной группы специальностей 15.00.00 «Машиностроение» (квалификация (степень) «бакалавр», «специалист»)</t>
  </si>
  <si>
    <t>653735.03.01</t>
  </si>
  <si>
    <t>Проектирование и расчет мультисервис. кабельных сис.: Уч.пос. / Семенов А.Б.-М.:НИЦ ИНФРА-М,2023-174с(П)</t>
  </si>
  <si>
    <t>ПРОЕКТИРОВАНИЕ И РАСЧЕТ МУЛЬТИСЕРВИСНЫХ КАБЕЛЬНЫХ СИСТЕМ</t>
  </si>
  <si>
    <t>Артюшенко В.М., Семенов А.Б., Аббасова Т.С. и др.</t>
  </si>
  <si>
    <t>978-5-16-014173-2</t>
  </si>
  <si>
    <t>09.03.02, 09.03.03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</si>
  <si>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09.03.02 «Информационные системы и технологии», 09.03.03 «Прикладная информатика» (квалификация (степень) «бакалавр») (протокол № 12 от 24.06.2019)</t>
  </si>
  <si>
    <t>Технологический университет имени дважды героя Советского Союза, летчика-космонавта А.А.Леонова</t>
  </si>
  <si>
    <t>188850.08.01</t>
  </si>
  <si>
    <t>Проектирование и реализ. баз данных в СУБД MySQL..: Уч. пос./С.А.Мартишин - М.:ФОРУМ:Инфра-М, 2024-160с (п)</t>
  </si>
  <si>
    <t>ПРОЕКТИРОВАНИЕ И РЕАЛИЗАЦИЯ БАЗ ДАННЫХ В СУБД MYSQL С ИСПОЛЬЗОВАНИЕМ MYSQL WORKBENCH</t>
  </si>
  <si>
    <t>978-5-8199-0517-3</t>
  </si>
  <si>
    <t>09.03.01, 09.03.02, 27.04.04, 09.04.01, 09.04.02, 27.03.04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</si>
  <si>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09.03.02 "Информационные системы и технологии"</t>
  </si>
  <si>
    <t>684896.06.01</t>
  </si>
  <si>
    <t>Проектирование и реализ.баз данных в СУБД MySQL. / С.А.Мартишин-М.:ИД ФОРУМ,НИЦ ИНФРА-М,2023-160(СПО)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</si>
  <si>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</si>
  <si>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</si>
  <si>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162700.09.01</t>
  </si>
  <si>
    <t>Проектирование информ. систем: Уч.пос. / В.В.Коваленко, - 2 изд.-М.:Форум, НИЦ ИНФРА-М,2023.-357 с.(П)</t>
  </si>
  <si>
    <t>ПРОЕКТИРОВАНИЕ ИНФОРМАЦИОННЫХ СИСТЕМ, ИЗД.2</t>
  </si>
  <si>
    <t>Коваленко В.В.</t>
  </si>
  <si>
    <t>978-5-00091-783-1</t>
  </si>
  <si>
    <t>09.03.02, 09.04.02, 09.03.03</t>
  </si>
  <si>
    <t>Рекомендовано Учебно-методическим объединением учебных заведений Российской Федерации по образованию в области прикладной информатики в качестве учебного пособия для студентов (бакалавров и специалистов) и магистров высших учебных заведений, обучающихся по направлению 09.03.03 «Прикладная информатика» (профиль «Прикладная информатика в экономике»)</t>
  </si>
  <si>
    <t>Сочинский государственный университет</t>
  </si>
  <si>
    <t>162700.05.01</t>
  </si>
  <si>
    <t>Проектирование информ.систем: Уч.пос. / В.В.Коваленко-М.:Форум, НИЦ ИНФРА-М,2018-320с(ВО)(П)</t>
  </si>
  <si>
    <t>ПРОЕКТИРОВАНИЕ ИНФОРМАЦИОННЫХ СИСТЕМ</t>
  </si>
  <si>
    <t>978-5-00091-628-5</t>
  </si>
  <si>
    <t>Рекомендовано Учебно-методическим объединением учебных заведений Российской Федерации по образованию в области прикладной информатики в качестве учебного пособия для студентов (бакалавров и специалистов) высших учебных заведений, обучающихся по направлению 09.03.03 «Прикладная информатика»</t>
  </si>
  <si>
    <t>140800.10.01</t>
  </si>
  <si>
    <t>Проектирование информац. систем: Уч. пос./ Н.Н.Заботина-М:НИЦ ИНФРА-М,2024-331с-(ВО:Бакалавриат) (п)</t>
  </si>
  <si>
    <t>978-5-16-004509-2</t>
  </si>
  <si>
    <t>09.03.02, 38.04.02, 09.04.03, 09.04.02, 09.03.03, 38.03.02, 41.03.06</t>
  </si>
  <si>
    <t>Рекомендовано Учебно-методическим объединением по образованию в области прикладной информатики в качестве уч. пос. для студентов вузов, обучающихся по спец. 09.03.03 «Прикладная информатика (по областям)» и другим экономическим специальностям</t>
  </si>
  <si>
    <t>632116.06.01</t>
  </si>
  <si>
    <t>Проектирование цифровых устройств: Уч. / А.В.Кистрин. - М.:КУРС, НИЦ ИНФРА-М,2023 - 352 с.(СПО)(П)</t>
  </si>
  <si>
    <t>ПРОЕКТИРОВАНИЕ ЦИФРОВЫХ УСТРОЙСТВ</t>
  </si>
  <si>
    <t>Кистрин А.В., Костров Б.В., Никифоров М.Б. и др.</t>
  </si>
  <si>
    <t>978-5-906818-59-1</t>
  </si>
  <si>
    <t>09.02.01</t>
  </si>
  <si>
    <t>651838.02.01</t>
  </si>
  <si>
    <t>Развитие историч. информатики в США..: Моногр. / О.В.Рагунштейн-М.:НИЦ ИНФРА-М,2020-184с(Науч.мысль)</t>
  </si>
  <si>
    <t>РАЗВИТИЕ ИСТОРИЧЕСКОЙ ИНФОРМАТИКИ В США (50 - 90-Е ГГ. XXВ.)</t>
  </si>
  <si>
    <t>Рагунштейн О.В.</t>
  </si>
  <si>
    <t>978-5-16-012637-1</t>
  </si>
  <si>
    <t>46.03.01, 46.04.01, 44.04.01, 44.03.01, 44.03.05</t>
  </si>
  <si>
    <t>Курский государственный университет</t>
  </si>
  <si>
    <t>060300.12.01</t>
  </si>
  <si>
    <t>Разработка баз данных в сис. Microsoft Access: Уч. / А.В.Кузин - 4 изд. - М.:Форум, НИЦ ИНФРА-М,2023 - 224 с.(П)</t>
  </si>
  <si>
    <t>РАЗРАБОТКА БАЗ ДАННЫХ В СИСТЕМЕ MICROSOFT ACCESS, ИЗД.4</t>
  </si>
  <si>
    <t>Кузин А. В., Демин В. М.</t>
  </si>
  <si>
    <t>978-5-00091-752-7</t>
  </si>
  <si>
    <t>09.02.03, 09.02.07, 00.02.03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</si>
  <si>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</si>
  <si>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307200.12.01</t>
  </si>
  <si>
    <t>Разработка бизнес-прил. на платф."1С:Предпр.": Уч.пос. / Э.Г.Дадян - 2 изд. - М.:НИЦ ИНФРА-М,2024-305с(ВО)(п)</t>
  </si>
  <si>
    <t>РАЗРАБОТКА БИЗНЕС-ПРИЛОЖЕНИЙ НА ПЛАТФОРМЕ "1С:ПРЕДПРИЯТИЕ", ИЗД.2</t>
  </si>
  <si>
    <t>978-5-16-019434-9</t>
  </si>
  <si>
    <t>Рекомендовано УМО вузов России по образованию в области финансов, учета и мировой экономики в качестве учебного пособия для студентов, обучающихся по направлению подготовки 38.03.01 «Экономика» (квалификация (степень) «бакалавр)</t>
  </si>
  <si>
    <t>682798.03.01</t>
  </si>
  <si>
    <t>Разработка бизнес-приложений на платформе "1С: Предпр.": Уч.пос. / Э.Г.Дадян-М.:НИЦ ИНФРА-М,2023.-305 с(П)</t>
  </si>
  <si>
    <t>РАЗРАБОТКА БИЗНЕС-ПРИЛОЖЕНИЙ НА ПЛАТФОРМЕ "1С: ПРЕДПРИЯТИЕ"</t>
  </si>
  <si>
    <t>978-5-16-016648-3</t>
  </si>
  <si>
    <t>38.02.06, 38.02.01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</si>
  <si>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</si>
  <si>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</si>
  <si>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</si>
  <si>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</t>
  </si>
  <si>
    <t>Гагарина Л.Г.</t>
  </si>
  <si>
    <t>978-5-8199-0735-1</t>
  </si>
  <si>
    <t>09.01.03, 09.01.02, 09.01.01, 09.02.01, 09.02.04, 09.02.05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</si>
  <si>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</si>
  <si>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0107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</si>
  <si>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</si>
  <si>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</si>
  <si>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</si>
  <si>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</si>
  <si>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</si>
  <si>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362000.12.01</t>
  </si>
  <si>
    <t>Разработка,внедр.и адаптация программного...: Уч.пос. / Г.Н.Федорова - М.:КУРС,НИЦ ИНФРА-М,2024 - 336с.(П)</t>
  </si>
  <si>
    <t>РАЗРАБОТКА, ВНЕДРЕНИЕ И АДАПТАЦИЯ ПРОГРАММНОГО ОБЕСПЕЧЕНИЯ ОТРАСЛЕВОЙ НАПРАВЛЕННОСТИ</t>
  </si>
  <si>
    <t>Федорова Г.Н.</t>
  </si>
  <si>
    <t>978-5-906818-41-6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</si>
  <si>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</si>
  <si>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</si>
  <si>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633162.06.01</t>
  </si>
  <si>
    <t>Рынки информационно-коммуникационных тех. и орг.продаж: Уч. / В.Н.Наумов-М.:НИЦ ИНФРА-М,2023-404(ВО)</t>
  </si>
  <si>
    <t>РЫНКИ ИНФОРМАЦИОННО-КОММУНИКАЦИОННЫХ ТЕХНОЛОГИЙ И ОРГАНИЗАЦИЯ ПРОДАЖ</t>
  </si>
  <si>
    <t>Наумов В.Н.</t>
  </si>
  <si>
    <t>978-5-16-012042-3</t>
  </si>
  <si>
    <t>09.03.02, 38.03.05, 38.03.02</t>
  </si>
  <si>
    <t>Рекомендовано Научно-методическим советом федерального государственного бюджетного образовательного учреждения высшего образования «Санкт-Петербургский государственный экономический университет» в качестве учебника для студентов, обучающихся по направлению подготовки 38.03.05 «Бизнес-информатика» (квалификация (степень) «бакалавр»)</t>
  </si>
  <si>
    <t>Санкт-Петербургский государственный экономический университет</t>
  </si>
  <si>
    <t>083410.09.01</t>
  </si>
  <si>
    <t>Сборник задач и упр. по информатике: Уч.пос. / Под ред. Гагариной Л.Г.-М.:ИД Форум, НИЦ ИНФРА-М,2022.-255 с.(П)</t>
  </si>
  <si>
    <t>СБОРНИК ЗАДАЧ И УПРАЖНЕНИЙ ПО ИНФОРМАТИКЕ</t>
  </si>
  <si>
    <t>В.Д.Колдаев, Л.Г.Гагарина</t>
  </si>
  <si>
    <t>978-5-8199-0928-7</t>
  </si>
  <si>
    <t>09.02.05, 00.02.03</t>
  </si>
  <si>
    <t>703552.04.01</t>
  </si>
  <si>
    <t>Системы счисления, алгоритмизация и программир.: Уч.пос. / Е.П.Игнашева-М.:НИЦ ИНФРА-М,2023.-224с(П)</t>
  </si>
  <si>
    <t>СИСТЕМЫ СЧИСЛЕНИЯ, АЛГОРИТМИЗАЦИЯ И ПРОГРАММИРОВАНИЕ</t>
  </si>
  <si>
    <t>Игнашева Е.П.</t>
  </si>
  <si>
    <t>Военное образование (ЧВВМУ им. Нахимова)</t>
  </si>
  <si>
    <t>978-5-16-015295-0</t>
  </si>
  <si>
    <t>Черноморское высшее военно-морское ордена Красной Звезды училище им. П.С. Нахимова</t>
  </si>
  <si>
    <t>212700.05.01</t>
  </si>
  <si>
    <t>Современные информ.-коммуникац. технол. для успеш...: Уч.пос. / Ю.Д.Романова-М.:ИНФРА-М,2019-279с(п)</t>
  </si>
  <si>
    <t>СОВРЕМЕННЫЕ ИНФОРМАЦИОННО-КОММУНИКАЦИОННЫЕ ТЕХНОЛОГИИ ДЛЯ УСПЕШНОГО ВЕДЕНИЯ БИЗНЕСА</t>
  </si>
  <si>
    <t>Романова Ю.Д., Дьяконова Л.П., Женова Н.А. и др.</t>
  </si>
  <si>
    <t>Учебники для программы MBA</t>
  </si>
  <si>
    <t>978-5-16-006873-2</t>
  </si>
  <si>
    <t>09.03.02, 37.04.02, 38.04.01, 38.04.02, 09.04.02, 38.03.01, 38.03.02, 38.03.04, 38.03.03, 41.03.06</t>
  </si>
  <si>
    <t>Рекомендовано в качестве учебного пособия для студентов высших учебных заведений, обучающихся по направлениям подготовки 38.04.01 «Экономика», 38.04.02 «Менеджмент» (квалификация (степень) «магистр»)</t>
  </si>
  <si>
    <t>212700.07.01</t>
  </si>
  <si>
    <t>Современные информац.-коммуникац. технологии...: Уч.пос. / Ю.Д.Романова - 2 изд.-М.:НИЦ ИНФРА М,2023-257 с(П)</t>
  </si>
  <si>
    <t>СОВРЕМЕННЫЕ ИНФОРМАЦИОННО-КОММУНИКАЦИОННЫЕ ТЕХНОЛОГИИ ДЛЯ УСПЕШНОГО ВЕДЕНИЯ БИЗНЕСА, ИЗД.2</t>
  </si>
  <si>
    <t>978-5-16-017053-4</t>
  </si>
  <si>
    <t>667069.05.01</t>
  </si>
  <si>
    <t>Современные средства реал. авт.сис. Раб. с Google табл.: Уч.пос. / Н.В.Бильфельд-М.:ИЦ РИОР, НИЦ ИНФРА-М,2024-171с.(О)</t>
  </si>
  <si>
    <t>СОВРЕМЕННЫЕ СРЕДСТВА РЕАЛИЗАЦИИ АВТОМАТИЗИРОВАННЫХ СИСТЕМ. РАБОТА С GOOGLE ТАБЛИЦАМИ</t>
  </si>
  <si>
    <t>Бильфельд Н.В., Володина Ю.И.</t>
  </si>
  <si>
    <t>978-5-369-01721-0</t>
  </si>
  <si>
    <t>09.02.03, 02.03.02, 04.03.02, 03.03.02, 09.03.01, 23.03.01, 23.03.03</t>
  </si>
  <si>
    <t>177900.13.01</t>
  </si>
  <si>
    <t>Современные технол. и технич.средства информатизации: Уч. /О.В.Шишов -М.:НИЦ ИНФРА-М,2024-462с.(ВО)(п)</t>
  </si>
  <si>
    <t>СОВРЕМЕННЫЕ ТЕХНОЛОГИИ И ТЕХНИЧЕСКИЕ СРЕДСТВА ИНФОРМАТИЗАЦИИ</t>
  </si>
  <si>
    <t>Шишов О.В.</t>
  </si>
  <si>
    <t>978-5-16-019029-7</t>
  </si>
  <si>
    <t>47.03.01, 43.03.01, 43.03.02, 47.04.01</t>
  </si>
  <si>
    <t>Рекомендовано УМО по образованию в качестве учебника для студентов вузов, обучающихся по направлению 02.03.02 "Фундаментальная информатика и информационные технологии" (квалификация (степень) "бакалавр")</t>
  </si>
  <si>
    <t>Национальный исследовательский Мордовский государственный университет им. Н.П. Огарева</t>
  </si>
  <si>
    <t>763411.01.01</t>
  </si>
  <si>
    <t>Современные технологии и технич. средства информатизации: Уч. / О.В.Шишов - М.:НИЦ ИНФРА-М,2022 - 462 с.(П)</t>
  </si>
  <si>
    <t>978-5-16-017112-8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</si>
  <si>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</si>
  <si>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641227.08.01</t>
  </si>
  <si>
    <t>Современные технологии программир. Яз. 1С 8.3: Уч. / Э.Г.Дадян - М.:НИЦ ИНФРА-М,2023 - 173 с.(ВО)(П)</t>
  </si>
  <si>
    <t>СОВРЕМЕННЫЕ ТЕХНОЛОГИИ ПРОГРАММИРОВАНИЯ. ЯЗЫК 1С 8.3</t>
  </si>
  <si>
    <t>978-5-16-016301-7</t>
  </si>
  <si>
    <t>38.03.10, 38.03.01, 38.03.05, 09.03.03, 38.03.06, 38.03.07, 38.03.02, 38.03.04, 38.03.03</t>
  </si>
  <si>
    <t>742703.01.01</t>
  </si>
  <si>
    <t>Современные технологии программир. Язык С#: Уч.: Т.1 / Э.Г.Дадян - М.:НИЦ ИНФРА-М,2021 - 312 с.(П)</t>
  </si>
  <si>
    <t>СОВРЕМЕННЫЕ ТЕХНОЛОГИИ ПРОГРАММИРОВАНИЯ. ЯЗЫК С#. ТОМ 1. ДЛЯ НАЧИНАЮЩИХ ПОЛЬЗОВАТЕЛЕЙ, Т.1</t>
  </si>
  <si>
    <t>978-5-16-016613-1</t>
  </si>
  <si>
    <t>09.04.03, 09.03.03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</si>
  <si>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09.03.03 «Прикладная информатика» (квалификация (степень) «бакалавр») (протокол № 2 от 17.02.2021)</t>
  </si>
  <si>
    <t>757947.01.01</t>
  </si>
  <si>
    <t>Современные технологии программир. Язык С#: Уч.: Т.2 / Э.Г.Дадян - М.:НИЦ ИНФРА-М,2021 - 335 с.(П)</t>
  </si>
  <si>
    <t>СОВРЕМЕННЫЕ ТЕХНОЛОГИИ ПРОГРАММИРОВАНИЯ. ЯЗЫК С#., Т.2</t>
  </si>
  <si>
    <t>978-5-16-016997-2</t>
  </si>
  <si>
    <t>703554.06.01</t>
  </si>
  <si>
    <t>Стандартизация, сертификация и упр. качест..: Уч.пос. / Т.Н.Ананьева и др. - М.:НИЦ ИНФРА-М,2024-232 с.(СПО)(П)</t>
  </si>
  <si>
    <t>СТАНДАРТИЗАЦИЯ, СЕРТИФИКАЦИЯ И УПРАВЛЕНИЕ КАЧЕСТВОМ ПРОГРАММНОГО ОБЕСПЕЧЕНИЯ</t>
  </si>
  <si>
    <t>Ананьева Т.Н., Новикова Н.Г., Исаев Г.Н.</t>
  </si>
  <si>
    <t>978-5-16-014887-8</t>
  </si>
  <si>
    <t>482300.05.01</t>
  </si>
  <si>
    <t>Стандартизация, сертификация и управ..: Уч.пос. / Т.Н.Ананьева - М.:НИЦ ИНФРА-М,2023 - 232с.(ВО)(П)</t>
  </si>
  <si>
    <t>978-5-16-011711-9</t>
  </si>
  <si>
    <t>02.03.02, 09.03.01, 09.03.04, 09.03.02, 38.03.05, 09.03.03</t>
  </si>
  <si>
    <t>Рекомендовано в качестве учебного пособия для студентов высших учебным заведений, обучающихся по направлению подготовки 38.03.05 «Бизнес-информатика» (квалификация (степень) «бакалавр»)</t>
  </si>
  <si>
    <t>721001.04.01</t>
  </si>
  <si>
    <t>Стандарты информац. безоп. Защита и обработка...: Уч.пос. / Ю.Н.Сычев, - 2 изд.-М.:НИЦ ИНФРА-М,2023.-602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</si>
  <si>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</si>
  <si>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</si>
  <si>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</si>
  <si>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721001.03.01</t>
  </si>
  <si>
    <t>Стандарты информационной безоп. Защита и обработка..: Уч.пос. / Ю.Н.Сычев-М.:НИЦ ИНФРА-М,2023-223с(П)</t>
  </si>
  <si>
    <t>СТАНДАРТЫ ИНФОРМАЦИОННОЙ БЕЗОПАСНОСТИ. ЗАЩИТА И ОБРАБОТКА КОНФИДЕНЦИАЛЬНЫХ ДОКУМЕНТОВ</t>
  </si>
  <si>
    <t>978-5-16-015718-4</t>
  </si>
  <si>
    <t>684713.03.01</t>
  </si>
  <si>
    <t>Стандарты информационной безопасности...: Уч.пос. / Ю.Н.Сычев - М.:НИЦ ИНФРА-М,2023 - 223 с.-(П)</t>
  </si>
  <si>
    <t>978-5-16-014397-2</t>
  </si>
  <si>
    <t>10.03.01, 10.04.01, 10.05.04, 10.05.01, 10.05.03, 10.05.05, 10.05.02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</si>
  <si>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10.03.00 «Информационная безопасность» (протокол № 7 от 15.04.2019)</t>
  </si>
  <si>
    <t>745641.03.01</t>
  </si>
  <si>
    <t>Стандарты информационной безопасности...: Уч.пос. / Ю.Н.Сычев - М.:НИЦ ИНФРА-М,2024 - 223 с.(П)</t>
  </si>
  <si>
    <t>978-5-16-016533-2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</si>
  <si>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укрупненной группе специальностей 10.05.00 «Информационная безопасность» (протокол № 8 от 22.06.2020)</t>
  </si>
  <si>
    <t>364200.07.01</t>
  </si>
  <si>
    <t>Статистические методы обработки эксперим.дан.с исп.:Уч.пос/Ф.И.Карманов-КУРС,НИЦ ИНФРА-М,2019-208с.</t>
  </si>
  <si>
    <t>СТАТИСТИЧЕСКИЕ МЕТОДЫ ОБРАБОТКИ ЭКСПЕРИМЕНТАЛЬНЫХ ДАННЫХ С ИСПОЛЬЗОВАНИЕМ ПАКЕТА MATHCAD</t>
  </si>
  <si>
    <t>Карманов Ф.И., Острейковский В.А.</t>
  </si>
  <si>
    <t>978-5-905554-96-4</t>
  </si>
  <si>
    <t>02.03.02, 03.03.02, 09.03.01, 02.04.02, 01.04.02, 09.04.03, 09.04.01, 01.03.02, 09.03.03</t>
  </si>
  <si>
    <t>Рекомендовано УМО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09.03.01 (230100) «Информатика и вычислительная техника», направлениям и специальн</t>
  </si>
  <si>
    <t>Национальный исследовательский ядерный университет "МИФИ", ф-л Обнинский институт атомной энергетики</t>
  </si>
  <si>
    <t>160850.14.01</t>
  </si>
  <si>
    <t>Статистический анализ данных в MS Excel: Уч.пос. / А.Ю.Козлов - М.:НИЦ ИНФРА-М,2022 - 320с.(ВО)(П)</t>
  </si>
  <si>
    <t>СТАТИСТИЧЕСКИЙ АНАЛИЗ ДАННЫХ В MS EXCEL</t>
  </si>
  <si>
    <t>Козлов А.Ю., Мхитарян В.С., Шишов В.Ф.</t>
  </si>
  <si>
    <t>978-5-16-004579-5</t>
  </si>
  <si>
    <t>38.04.01, 38.04.08, 38.04.02, 38.03.01</t>
  </si>
  <si>
    <t>Рекомендовано УМО по образованию в области статистики в качестве учебного пособия для студентов высших учебных заведений, обучающихся по экономическим специальностям</t>
  </si>
  <si>
    <t>Пензенский государственный университет</t>
  </si>
  <si>
    <t>226500.10.01</t>
  </si>
  <si>
    <t>Структуры и алгоритмы обработки данных: Уч. пос. / В.Д. Колдаев. - ИЦ РИОР: ИНФРА-М, 2023-296с.(ВО) (п)</t>
  </si>
  <si>
    <t>СТРУКТУРЫ И АЛГОРИТМЫ ОБРАБОТКИ ДАННЫХ</t>
  </si>
  <si>
    <t>978-5-369-01264-2</t>
  </si>
  <si>
    <t>09.03.01, 09.03.04, 09.04.03, 09.04.01, 09.03.03</t>
  </si>
  <si>
    <t>Рекомендовано Научно-методическим советом Национальното исследовательского университета Московского института электронной техники в качестве учебного пособия для студентов, обучающихся по специальностям: 230105 «Программное обеспечение вычислительной</t>
  </si>
  <si>
    <t>640520.01.01</t>
  </si>
  <si>
    <t>Теоретико-метод. основы качества информ.систем: Моногр. / Г.Н.Исаев-М.:НИЦ ИНФРА-М,2018-293с.(П)</t>
  </si>
  <si>
    <t>ТЕОРЕТИКО-МЕТОДОЛОГИЧЕСКИЕ ОСНОВЫ КАЧЕСТВА ИНФОРМАЦИОННЫХ СИСТЕМ</t>
  </si>
  <si>
    <t>Исаев Г.Н.</t>
  </si>
  <si>
    <t>978-5-16-013101-6</t>
  </si>
  <si>
    <t>45.03.04, 51.03.06</t>
  </si>
  <si>
    <t>683914.02.01</t>
  </si>
  <si>
    <t>Теоретико-методологич. аспекты использования информац...: Уч.пос. / В.Д.Колдаев-М.:НИЦ ИНФРА-М,2023.-333 с.(П)</t>
  </si>
  <si>
    <t>ТЕОРЕТИКО-МЕТОДОЛОГИЧЕСКИЕ АСПЕКТЫ ИСПОЛЬЗОВАНИЯ ИНФОРМАЦИОННЫХ ТЕХНОЛОГИЙ В ОБРАЗОВАНИИ</t>
  </si>
  <si>
    <t>Колдаев В.Д.</t>
  </si>
  <si>
    <t>978-5-16-015020-8</t>
  </si>
  <si>
    <t>00.03.16, 00.05.03, 00.05.16, 00.03.03, 44.03.05</t>
  </si>
  <si>
    <t>Рекомендовано научно-методическим советом Национального исследовательского университета «Московский институт электронной техники» в качестве учебного пособия для аспирантов, магистрантов и студентов любых направлений подготовки и специальностей</t>
  </si>
  <si>
    <t>213100.04.01</t>
  </si>
  <si>
    <t>Теория глоб. систем и их имитационное упр.: Моногр. / Н.Б.Кобелев - М:Вуз.уч.,НИЦ ИНФРА-М,2022-278с(О)</t>
  </si>
  <si>
    <t>ТЕОРИЯ ГЛОБАЛЬНЫХ СИСТЕМ И ИХ ИМИТАЦИОННОЕ УПРАВЛЕНИЕ</t>
  </si>
  <si>
    <t>Кобелев Н. Б.</t>
  </si>
  <si>
    <t>978-5-9558-0309-8</t>
  </si>
  <si>
    <t>02.03.02, 04.03.02, 02.03.03, 03.03.01, 03.03.02, 03.03.03, 01.03.03, 01.04.01, 01.04.02, 03.04.01, 04.04.01, 01.04.03, 01.03.01, 02.03.01, 01.03.02</t>
  </si>
  <si>
    <t>306800.07.01</t>
  </si>
  <si>
    <t>Теория надежности. Статистич. модели: Уч.пос. / А.В.Антонов.-М.:НИЦ ИНФРА-М,2022.-576 с.(ВО)(П)</t>
  </si>
  <si>
    <t>ТЕОРИЯ НАДЕЖНОСТИ. СТАТИСТИЧЕСКИЕ МОДЕЛИ</t>
  </si>
  <si>
    <t>Антонов А.В., Никулин М.С., Никулин А.М.и др.</t>
  </si>
  <si>
    <t>978-5-16-010264-1</t>
  </si>
  <si>
    <t>09.03.01, 09.04.01, 09.05.01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</si>
  <si>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подготовки 09.03.01 «Информатика и вычислительная техника»</t>
  </si>
  <si>
    <t>653166.03.01</t>
  </si>
  <si>
    <t>Теория цифрового компьютера: Уч.пос. / А.Б.Барский - М.:ИД ФОРУМ, НИЦ ИНФРА-М,2023 - 304 с.(П)</t>
  </si>
  <si>
    <t>ТЕОРИЯ ЦИФРОВОГО КОМПЬЮТЕРА</t>
  </si>
  <si>
    <t>Барский А.Б., Шилов В.В.</t>
  </si>
  <si>
    <t>978-5-8199-0774-0</t>
  </si>
  <si>
    <t>09.02.03, 09.02.04, 09.03.01, 09.03.04, 09.03.02, 38.04.05, 09.04.03, 09.04.01, 09.04.04, 09.04.02, 27.03.04, 38.03.05, 09.03.03</t>
  </si>
  <si>
    <t>Рекомендовано в качестве учебного пособия для студентов высших учебных заведений, обучающихся по направлениям подготовки 09.03.01 «Информатика и вычислительная техника», 09.03.02 «Информационные системы и технологии», 38.03.05 «Бизнес-информатика» (квалификация (степень) «бакалавр»)</t>
  </si>
  <si>
    <t>163700.12.01</t>
  </si>
  <si>
    <t>Технические средства автоматизации и упр.: Уч.пос. / О.В.Шишов - М.:НИЦ ИНФРА-М,2022-396с.(ВО:Бакалавр.)</t>
  </si>
  <si>
    <t>ТЕХНИЧЕСКИЕ СРЕДСТВА АВТОМАТИЗАЦИИ И УПРАВЛЕНИЯ</t>
  </si>
  <si>
    <t>978-5-16-010325-9</t>
  </si>
  <si>
    <t>11.03.04, 15.03.04, 11.04.04, 15.04.04</t>
  </si>
  <si>
    <t>Рекомендовано в качестве учебного пособия для студентов высших учебных заведений, обучающихся по техническим направлениям подготовки (квалификация (степень) «бакалавр»)</t>
  </si>
  <si>
    <t>709057.04.01</t>
  </si>
  <si>
    <t>Технические средства автоматизации и управ.: Уч.пос. / О.В.Шишов-М.:НИЦ ИНФРА-М,2024.-396с(П)</t>
  </si>
  <si>
    <t>978-5-16-015283-7</t>
  </si>
  <si>
    <t>15.01.36, 15.01.26, 15.01.27, 35.02.08, 13.02.06, 15.02.03, 26.02.06, 27.02.03, 27.02.04, 15.02.07, 27.02.05, 27.02.02, 27.02.01, 15.02.14, 15.02.15, 15.01.32, 15.01.33, 15.01.34, 15.01.35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</si>
  <si>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</si>
  <si>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640313.06.01</t>
  </si>
  <si>
    <t>Технические средства информатизации: Уч. / В.П.Зверева - М.:КУРС, НИЦ ИНФРА-М,2023.-256 с..-(СПО)(П)</t>
  </si>
  <si>
    <t>ТЕХНИЧЕСКИЕ СРЕДСТВА ИНФОРМАТИЗАЦИИ</t>
  </si>
  <si>
    <t>978-5-906818-88-1</t>
  </si>
  <si>
    <t>10.02.01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</si>
  <si>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</si>
  <si>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</si>
  <si>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</si>
  <si>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09.02.02, 09.02.03, 09.02.04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</si>
  <si>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</si>
  <si>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</si>
  <si>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</si>
  <si>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</si>
  <si>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</si>
  <si>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115400.11.01</t>
  </si>
  <si>
    <t>Технические средства информатизации: Уч.пос. / Л.Г.Гагарина - 2 изд. - М.:НИЦ ИНФРА-М,2023 - 260 с.(П)</t>
  </si>
  <si>
    <t>ТЕХНИЧЕСКИЕ СРЕДСТВА ИНФОРМАТИЗАЦИИ, ИЗД.2</t>
  </si>
  <si>
    <t>Гагарина Л.Г., Золотухин Ф.С.</t>
  </si>
  <si>
    <t>978-5-16-016140-2</t>
  </si>
  <si>
    <t>09.02.02, 09.02.01, 09.02.03, 09.02.04, 09.02.05, 10.02.05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</si>
  <si>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</si>
  <si>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</si>
  <si>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</si>
  <si>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</si>
  <si>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</si>
  <si>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</si>
  <si>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697049.04.01</t>
  </si>
  <si>
    <t>Технологии параллельного программир.: Уч.пос. / С.А.Лупин-М.:ИД ФОРУМ,НИЦ ИНФРА-М,2023-206с(СПО)(П)</t>
  </si>
  <si>
    <t>ТЕХНОЛОГИИ ПАРАЛЛЕЛЬНОГО ПРОГРАММИРОВАНИЯ</t>
  </si>
  <si>
    <t>Лупин С.А., Посыпкин М.А.</t>
  </si>
  <si>
    <t>978-5-8199-0853-2</t>
  </si>
  <si>
    <t>09.02.03, 09.02.05, 09.02.07</t>
  </si>
  <si>
    <t>089740.08.01</t>
  </si>
  <si>
    <t>Технологии параллельного программирования: Уч.пос. / С.А.Лупин-М.:ИД ФОРУМ, ИНФРА-М Изд.Дом,2020-206 с.-(ВО)(П)</t>
  </si>
  <si>
    <t>Лупин С. А., Посыпкин М. А.</t>
  </si>
  <si>
    <t>978-5-8199-0336-0</t>
  </si>
  <si>
    <t>02.03.03, 09.03.01, 09.03.04, 09.03.02, 01.04.04, 02.04.02, 09.03.03</t>
  </si>
  <si>
    <t>Допущено УМО по университетскому политехническому образованию в качестве учебного пособия для студентов высших учебных заведений, обучающихся по направлению 230100 "Информатика и вычислительная техника"</t>
  </si>
  <si>
    <t>357000.08.01</t>
  </si>
  <si>
    <t>Технологии физического уровня передачи данных: Уч. СПО / А.В.Кистрин .-М.:КУРС, НИЦ ИНФРА-М,2024.-208c(П)</t>
  </si>
  <si>
    <t>ТЕХНОЛОГИИ ФИЗИЧЕСКОГО УРОВНЯ ПЕРЕДАЧИ ДАННЫХ</t>
  </si>
  <si>
    <t>Кистрин А.В., Костров Б.В., Ефимов А.И. и др.</t>
  </si>
  <si>
    <t>978-5-906818-37-9</t>
  </si>
  <si>
    <t>086270.15.01</t>
  </si>
  <si>
    <t>Технология разработки програм.обесп.: Уч.пос. /Гагарина Л.Г. - М.:ИД ФОРУМ,НИЦ ИНФРА-М,2023 - 400с(П)</t>
  </si>
  <si>
    <t>ТЕХНОЛОГИЯ РАЗРАБОТКИ ПРОГРАММНОГО ОБЕСПЕЧЕНИЯ</t>
  </si>
  <si>
    <t>Гагарина Л.Г., Кокорева Е.В., Сидорова-Виснадул Б.Д. и др.</t>
  </si>
  <si>
    <t>978-5-8199-0707-8</t>
  </si>
  <si>
    <t>09.02.03, 02.03.03, 09.04.03, 09.04.01, 09.03.03, 09.02.07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</si>
  <si>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направлениям подготовки 09.04.01 и 09.03.03 «Информатика и вычислительная техника»</t>
  </si>
  <si>
    <t>684898.08.01</t>
  </si>
  <si>
    <t>Технология разработки программного обесп.: Уч.пос./ Под ред. Гагариной Л.Г-М:ИД ФОРУМ,2023-400с(СПО)(П)</t>
  </si>
  <si>
    <t>978-5-8199-0812-9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</si>
  <si>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</si>
  <si>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</si>
  <si>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</t>
  </si>
  <si>
    <t>978-5-16-016554-7</t>
  </si>
  <si>
    <t>26.02.01, 23.02.01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</si>
  <si>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</si>
  <si>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702188.03.01</t>
  </si>
  <si>
    <t>Управление данными в транспортных системах: Уч.пос. / В.А.Гвоздева-М.:НИЦ ИНФРА-М,2023-234 с.(ВО)(П)</t>
  </si>
  <si>
    <t>978-5-16-015126-7</t>
  </si>
  <si>
    <t>09.03.02, 23.03.01, 23.03.02, 23.03.03, 26.03.01, 26.03.02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</si>
  <si>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укрупненным группам специальностей и направлений подготовки 23.00.00 «Техника и технологии наземного транспорта», 26.00.00 «Техника и технологии кораблестроения и водного транспорта» (квалификация (степень) «бакалавр») (протокол № 8 от 22.06.2020)</t>
  </si>
  <si>
    <t>652162.04.01</t>
  </si>
  <si>
    <t>Управление информ.взаимод. в распред. тех.: Моногр. / Ю.К.Апраксин-М.:Вуз.уч.,НИЦ ИНФРА-М,2023-184 с.(О)</t>
  </si>
  <si>
    <t>УПРАВЛЕНИЕ ИНФОРМАЦИОННЫМ ВЗАИМОДЕЙСТВИЕМ В РАСПРЕДЕЛЕННЫХ ТЕХНИЧЕСКИХ СИСТЕМАХ. КОНЕЧНО-АВТОМАТНЫЙ ПОДХОД</t>
  </si>
  <si>
    <t>Апраксин Ю.К.</t>
  </si>
  <si>
    <t>978-5-9558-0554-2</t>
  </si>
  <si>
    <t>02.03.02, 09.03.04, 15.03.04, 09.04.01, 27.03.04</t>
  </si>
  <si>
    <t>Севастопольский государственный университет</t>
  </si>
  <si>
    <t>797531.01.01</t>
  </si>
  <si>
    <t>Управление ИТ-архитектурой организации... Том 1. / Р.А.Исаев-М.:НИЦ ИНФРА-М,2023.-134 с. [16+](о)</t>
  </si>
  <si>
    <t>УПРАВЛЕНИЕ ИТ-АРХИТЕКТУРОЙ ОРГАНИЗАЦИИ: ПРОЕКТИРОВАНИЕ, АНАЛИЗ, ОПТИМИЗАЦИЯ И ТРАНСФОРМАЦИЯ. ТОМ 1</t>
  </si>
  <si>
    <t>Исаев Р.А.</t>
  </si>
  <si>
    <t>978-5-16-018164-6</t>
  </si>
  <si>
    <t>Общее</t>
  </si>
  <si>
    <t>09.00.00, 38.00.00, 09.05.01</t>
  </si>
  <si>
    <t>800670.01.01</t>
  </si>
  <si>
    <t>Управление ИТ-архитектурой организации: Т. 2 / Р.А.Исаев-М.:НИЦ ИНФРА-М,2023.-135 с.(О)</t>
  </si>
  <si>
    <t>УПРАВЛЕНИЕ ИТ-АРХИТЕКТУРОЙ ОРГАНИЗАЦИИ: ПРОЕКТИРОВАНИЕ, АНАЛИЗ, ОПТИМИЗАЦИЯ И ТРАНСФОРМАЦИЯ. ТОМ 2</t>
  </si>
  <si>
    <t>978-5-16-018298-8</t>
  </si>
  <si>
    <t>Пособие</t>
  </si>
  <si>
    <t>02.03.02, 38.04.01, 38.04.02, 38.04.05, 09.04.03, 09.04.02</t>
  </si>
  <si>
    <t>Январь, 2023</t>
  </si>
  <si>
    <t>274000.07.01</t>
  </si>
  <si>
    <t>Управление качеством информац. сис.: Уч.пос. / Г.Н.Исаев - М.:НИЦ ИНФРА-М,2024-248 с.(ВО: Бакалавр.)(П)</t>
  </si>
  <si>
    <t>УПРАВЛЕНИЕ КАЧЕСТВОМ ИНФОРМАЦИОННЫХ СИСТЕМ</t>
  </si>
  <si>
    <t>978-5-16-011794-2</t>
  </si>
  <si>
    <t>09.03.01, 09.03.02, 09.04.02</t>
  </si>
  <si>
    <t>Рекомендовано в качестве учебного пособия для студентов высших учебных заведений, обучающихся по направлению подготовки 09.03.02 «Информационные системы и технологии» (квалификация (степень) «бакалавр»)</t>
  </si>
  <si>
    <t>719807.03.01</t>
  </si>
  <si>
    <t>Управление качеством информационных систем: Уч.пос. / Г.Н.Исаев-М.:НИЦ ИНФРА-М,2023.-248 с.(СПО)(П)</t>
  </si>
  <si>
    <t>978-5-16-015650-7</t>
  </si>
  <si>
    <t>684228.05.01</t>
  </si>
  <si>
    <t>Управление контентом. Практикум: Уч.пос. / В.А.Цупин - М.:НИЦ ИНФРА-М,2023. - 211 с.-(ВО)(П)</t>
  </si>
  <si>
    <t>УПРАВЛЕНИЕ КОНТЕНТОМ. ПРАКТИКУМ</t>
  </si>
  <si>
    <t>Цупин В.А., Ниматулаев М.М.</t>
  </si>
  <si>
    <t>978-5-16-016493-9</t>
  </si>
  <si>
    <t>09.03.01, 09.03.02, 10.03.01, 10.04.01, 38.04.05, 09.04.03, 09.04.01, 09.04.02, 38.03.05, 09.03.03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</si>
  <si>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укрупненным группам специальностей и направлений 38.03.00 «Экономика и управление», 09.03.00 «Информатика и вычислительная техника» (протокол № 10 от 27.05.2019)</t>
  </si>
  <si>
    <t>664591.06.01</t>
  </si>
  <si>
    <t>Управление проектами информационных систем: Уч.пос. / Л.А.Сысоева-М.:НИЦ ИНФРА-М,2023-345с(ВО)(П)</t>
  </si>
  <si>
    <t>УПРАВЛЕНИЕ ПРОЕКТАМИ ИНФОРМАЦИОННЫХ СИСТЕМ</t>
  </si>
  <si>
    <t>Сысоева Л.А., Сатунина А.Е.</t>
  </si>
  <si>
    <t>978-5-16-013775-9</t>
  </si>
  <si>
    <t>09.02.04, 09.03.04, 38.03.05, 09.03.03, 38.03.02, 09.02.07</t>
  </si>
  <si>
    <t>Рекомендовано УМО РАЕ по классическому университетскому и техническому образованию в качестве учебного пособия для студентов высших учебных заведений, обучающихся по направлениям подготовки 09.03.03 «Прикладная информатика», 38.03.02 «Менеджмент», 38.03.05 «Бизнес-информатика»</t>
  </si>
  <si>
    <t>719618.03.01</t>
  </si>
  <si>
    <t>Управление проектами информационных систем: Уч.пос. / Л.А.Сысоева-М.:НИЦ ИНФРА-М,2023-345с.-(СПО)(П)</t>
  </si>
  <si>
    <t>978-5-16-015645-3</t>
  </si>
  <si>
    <t>09.02.04, 09.02.07</t>
  </si>
  <si>
    <t>667635.02.01</t>
  </si>
  <si>
    <t>Управление хранением и обработ.информ. в образ.:Моногр./ В.П.Лозинская-М.:НИЦ ИНФРА-М, СФУ,2023-130с</t>
  </si>
  <si>
    <t>УПРАВЛЕНИЕ ХРАНЕНИЕМ И ОБРАБОТКОЙ ИНФОРМАЦИИ В ОБРАЗОВАТЕЛЬНЫХ СРЕДАХ ДИСТАНЦИОННОГО ОБУЧЕНИЯ</t>
  </si>
  <si>
    <t>Лозинская В.П.</t>
  </si>
  <si>
    <t>978-5-16-013242-6</t>
  </si>
  <si>
    <t>09.03.02, 09.04.03, 09.04.02, 09.03.03</t>
  </si>
  <si>
    <t>704194.04.01</t>
  </si>
  <si>
    <t>Уравнения математической физики.Практ.Компьютер..:Уч.пос./К.В.Титов-М.:ИЦ РИОР,НИЦ ИНФРА-М,2023-262с</t>
  </si>
  <si>
    <t>УРАВНЕНИЯ МАТЕМАТИЧЕСКОЙ ФИЗИКИ. ПРАКТИКУМ. КОМПЬЮТЕРНЫЕ ТЕХНОЛОГИИ РЕШЕНИЯ ЗАДАЧ</t>
  </si>
  <si>
    <t>Титов К.В.</t>
  </si>
  <si>
    <t>978-5-369-01812-5</t>
  </si>
  <si>
    <t>02.03.02, 04.03.02, 02.03.03, 03.03.01, 03.03.02, 03.03.03, 01.03.03, 01.03.04, 16.03.03, 15.03.03, 01.04.04, 01.04.01, 01.04.02, 03.04.01, 03.04.02, 03.04.03, 01.04.03, 01.05.01, 01.03.01, 02.03.01, 01.03.02, 00.00.00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</si>
  <si>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</si>
  <si>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</si>
  <si>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</t>
  </si>
  <si>
    <t>978-5-906818-92-8</t>
  </si>
  <si>
    <t>10.02.03, 10.02.01</t>
  </si>
  <si>
    <t>633723.06.01</t>
  </si>
  <si>
    <t>Физические основы защиты информации: Уч.пос. / Н.Е.Шейдаков-М.:ИЦ РИОР, НИЦ ИНФРА-М,2022-204с(ВО)(П)</t>
  </si>
  <si>
    <t>ФИЗИЧЕСКИЕ ОСНОВЫ ЗАЩИТЫ ИНФОРМАЦИИ</t>
  </si>
  <si>
    <t>Шейдаков Н.Е., Тищенко Е.Н., Серпенинов О.В.</t>
  </si>
  <si>
    <t>978-5-369-01603-9</t>
  </si>
  <si>
    <t>46.03.02, 09.03.01, 10.03.01, 27.03.02, 10.04.01, 01.04.04, 38.04.05, 27.04.03, 10.05.04, 10.05.02, 38.03.05, 09.03.03</t>
  </si>
  <si>
    <t>Ростовский государственный экономический университет (РИНХ)</t>
  </si>
  <si>
    <t>796190.01.01</t>
  </si>
  <si>
    <t>Цифровые технологии в учебном процессе: Уч. / В.И.Блинов.-М.:ИЦ РИОР, НИЦ ИНФРА-М,2023.-311 с.(ВО)(п)</t>
  </si>
  <si>
    <t>ЦИФРОВЫЕ ТЕХНОЛОГИИ В УЧЕБНОМ ПРОЦЕССЕ</t>
  </si>
  <si>
    <t>Алексахин С.В., Блинов В.И., Сергеев И.С. и др.</t>
  </si>
  <si>
    <t>978-5-369-01922-1</t>
  </si>
  <si>
    <t>44.02.06, 44.06.01, 44.03.01</t>
  </si>
  <si>
    <t>Московский автомобильно-дорожный государственный технический университет</t>
  </si>
  <si>
    <t>753308.02.01</t>
  </si>
  <si>
    <t>Цифровые технологии как инструмент финанс. контроля: Уч.пос. / И.В.Петрова-М.:Юр.Норма, НИЦ ИНФРА-М,2023.-104 с.(О)</t>
  </si>
  <si>
    <t>ЦИФРОВЫЕ ТЕХНОЛОГИИ КАК ИНСТРУМЕНТ ФИНАНСОВОГО КОНТРОЛЯ</t>
  </si>
  <si>
    <t>Петрова И.В.</t>
  </si>
  <si>
    <t>Юр. НОРМА</t>
  </si>
  <si>
    <t>978-5-00156-155-2</t>
  </si>
  <si>
    <t>40.03.01, 38.04.09</t>
  </si>
  <si>
    <t>Московский государственный юридический университет им. О.Е. Кутафина</t>
  </si>
  <si>
    <t>085730.19.01</t>
  </si>
  <si>
    <t>Численные методы и програм.: Уч.пос. / Под ред. Гагариной Л.Г.-М.:ИД ФОРУМ,НИЦ ИНФРА-М,2024-336с.(СПО)(П)</t>
  </si>
  <si>
    <t>ЧИСЛЕННЫЕ МЕТОДЫ И ПРОГРАММИРОВАНИЕ</t>
  </si>
  <si>
    <t>Колдаев В.Д., Гагарина Л.Г.</t>
  </si>
  <si>
    <t>978-5-8199-0779-5</t>
  </si>
  <si>
    <t>09.02.02, 09.02.01, 09.02.03, 09.02.04, 09.02.05, 09.02.07</t>
  </si>
  <si>
    <t>233600.04.01</t>
  </si>
  <si>
    <t>Численные методы...: Уч.пос. / В.Б.Маничев - М.: НИЦ ИНФРА-М, 2022 -152с. (ВО:Бакалавр.)(О)</t>
  </si>
  <si>
    <t>ЧИСЛЕННЫЕ МЕТОДЫ. ДОСТОВЕРНОЕ И ТОЧНОЕ ЧИСЛЕННОЕ РЕШЕНИЕ ДИФФЕРЕНЦИАЛЬНЫХ И АЛГЕБРАИЧЕСКИХ УРАВНЕНИЙ В CAE-СИСТЕМАХ САПР</t>
  </si>
  <si>
    <t>Маничев В.Б., Глазкова В.В., Кузьмина И.А.</t>
  </si>
  <si>
    <t>978-5-16-010366-2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</si>
  <si>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09.03.01 «Информатика и вычислительная техника», 09.03.02 «Информационные системы и технологии», 09.03.03 «Прикладная информатика», 09.03.04 «Программная инженерия»</t>
  </si>
  <si>
    <t>690265.01.01</t>
  </si>
  <si>
    <t>ЭВМ и периферийные устройства: Уч.пос. / В.Ф.Лянг-М.:НИЦ ИНФРА-М,2023.-580 с.(ВО: Бакалавр.)(п)</t>
  </si>
  <si>
    <t>ЭВМ И ПЕРИФЕРИЙНЫЕ УСТРОЙСТВА</t>
  </si>
  <si>
    <t>978-5-16-018135-6</t>
  </si>
  <si>
    <t>09.03.01, 09.05.01</t>
  </si>
  <si>
    <t>111050.10.01</t>
  </si>
  <si>
    <t>Экспертные системы САПР: Уч.пос. / А.Л.Ездаков - М.:ИД ФОРУМ, НИЦ ИНФРА-М,2023 - 160 с.(ВО)(П)</t>
  </si>
  <si>
    <t>ЭКСПЕРТНЫЕ СИСТЕМЫ САПР</t>
  </si>
  <si>
    <t>Ездаков А.Л.</t>
  </si>
  <si>
    <t>978-5-8199-0886-0</t>
  </si>
  <si>
    <t>Допущено УМО по университетскому политехническому образованию в качестве учебного пособия для студентов высших учебных заведений, обучающихся по направлению 09.00.00 "Информатика и вычислительная техника"</t>
  </si>
  <si>
    <t>640318.08.01</t>
  </si>
  <si>
    <t>Эксплуатация объектов сетевой инфраструкт.: Уч. / А.В.Назаров - М.:КУРС, НИЦ ИНФРА-М,2023 - 360 с(СПО)(П)</t>
  </si>
  <si>
    <t>ЭКСПЛУАТАЦИЯ ОБЪЕКТОВ СЕТЕВОЙ ИНФРАСТРУКТУРЫ</t>
  </si>
  <si>
    <t>Назаров А.В., Енгалычев А.Н., Мельников В.П.</t>
  </si>
  <si>
    <t>978-5-906923-06-6</t>
  </si>
  <si>
    <t>09.02.02, 11.02.15</t>
  </si>
  <si>
    <t>655199.05.01</t>
  </si>
  <si>
    <t>Электронный док. и обесп. безоп. станд. сред. windows: Уч.пос. /Л.М.Евдокимова -М:КУРС,НИЦ ИНФРА-М,2023-296с</t>
  </si>
  <si>
    <t>ЭЛЕКТРОННЫЙ ДОКУМЕНТООБОРОТ И ОБЕСПЕЧЕНИЕ БЕЗОПАСНОСТИ СТАНДАРТНЫМИ СРЕДСТВАМИ WINDOWS</t>
  </si>
  <si>
    <t>Евдокимова Л.М., Корябкин В.В., Пылькин А.Н. и др.</t>
  </si>
  <si>
    <t>978-5-906923-24-0</t>
  </si>
  <si>
    <t>31.02.02, 09.03.04, 09.03.03</t>
  </si>
  <si>
    <t>684156.05.01</t>
  </si>
  <si>
    <t>Язык и среда программирования R: Уч.пос. / А.В.Золотарюк - М.:НИЦ ИНФРА-М,2023 - 162 с.(ВО)(О)</t>
  </si>
  <si>
    <t>ЯЗЫК И СРЕДА ПРОГРАММИРОВАНИЯ R</t>
  </si>
  <si>
    <t>Золотарюк А.В.</t>
  </si>
  <si>
    <t>978-5-16-018723-5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</si>
  <si>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информатика», 09.03.03 «Прикладная информатика», 38.03.01 «Экономика», 38.03.02 «Менеджмент» (квалификация (степень) «бакалавр»)</t>
  </si>
  <si>
    <t>681551.07.01</t>
  </si>
  <si>
    <t>Язык программирования Python: прак.: Уч.пос. / Р.А.Жуков - М.:НИЦ ИНФРА-М,2023 - 216 с.(ВО)(П)</t>
  </si>
  <si>
    <t>ЯЗЫК ПРОГРАММИРОВАНИЯ PYTHON: ПРАКТИКУМ</t>
  </si>
  <si>
    <t>Жуков Р.А.</t>
  </si>
  <si>
    <t>978-5-16-018516-3</t>
  </si>
  <si>
    <t>38.03.05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</si>
  <si>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38.03.05 «Бизнес-информатика» (квалификация (степень) «бакалавр») (протокол № 6 от 25.03.2019)</t>
  </si>
  <si>
    <t>Финансовый университет при Правительстве Российской Федерации, Тульский ф-л</t>
  </si>
  <si>
    <t>719488.07.01</t>
  </si>
  <si>
    <t>Язык программирования Python: практикум: Уч.пос. / Р.А.Жуков - М.:НИЦ ИНФРА-М,2024-216 с.-(СПО)(П)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</si>
  <si>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</si>
  <si>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</si>
  <si>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279800.09.01</t>
  </si>
  <si>
    <t>Язык Си: кратко и ясно: Уч.пос. / Д.В.Парфенов - М.:НИЦ ИНФРА-М,2024 - 320 с.(ВО)(п)</t>
  </si>
  <si>
    <t>ЯЗЫК СИ: КРАТКО И ЯСНО</t>
  </si>
  <si>
    <t>Парфенов Д. В.</t>
  </si>
  <si>
    <t>978-5-16-019382-3</t>
  </si>
  <si>
    <t>02.03.02, 03.03.02, 09.03.01, 09.03.04, 09.03.02, 01.03.02, 09.03.03</t>
  </si>
  <si>
    <t>Допущено УМО по классическому образованию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 и 02.03.02 «Фундаментальная информатика и информационные технологии»</t>
  </si>
  <si>
    <t>088400.14.01</t>
  </si>
  <si>
    <t>Языки программирования: Уч.пос. / О.Л.Голицына и др.,-3 изд.-М:Форум, НИЦ ИНФРА-М,2023.-399с(СПО)(П)</t>
  </si>
  <si>
    <t>ЯЗЫКИ ПРОГРАММИРОВАНИЯ, ИЗД.3</t>
  </si>
  <si>
    <t>978-5-00091-613-1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</si>
  <si>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</si>
  <si>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0313</t>
  </si>
  <si>
    <t>&lt;Объект не найден&gt; (30812:a6ad90b11c31de4c11e80046564b9cb0)</t>
  </si>
  <si>
    <t>00.00.00</t>
  </si>
  <si>
    <t>ОБЩИЕ ДИСЦИПЛИНЫ ДЛЯ ВСЕХ СПЕЦИАЛЬНОСТЕЙ</t>
  </si>
  <si>
    <t>Информационные технологии в профессинальной деятельности</t>
  </si>
  <si>
    <t>00.03.03</t>
  </si>
  <si>
    <t>Информатика</t>
  </si>
  <si>
    <t>00.03.16</t>
  </si>
  <si>
    <t>Основы научных исследований</t>
  </si>
  <si>
    <t>00.04.16</t>
  </si>
  <si>
    <t>00.05.03</t>
  </si>
  <si>
    <t>00.05.16</t>
  </si>
  <si>
    <t>00.06.01</t>
  </si>
  <si>
    <t>Методология научных исследований</t>
  </si>
  <si>
    <t>01.00.00</t>
  </si>
  <si>
    <t>МАТЕМАТИКА И МЕХАНИКА</t>
  </si>
  <si>
    <t>01.03.01</t>
  </si>
  <si>
    <t>Математика</t>
  </si>
  <si>
    <t>01.03.02</t>
  </si>
  <si>
    <t>Прикладная математика и информатика</t>
  </si>
  <si>
    <t>01.03.03</t>
  </si>
  <si>
    <t>Механика и математическое моделирование</t>
  </si>
  <si>
    <t>Прикладная математика</t>
  </si>
  <si>
    <t>01.04.01</t>
  </si>
  <si>
    <t>01.04.02</t>
  </si>
  <si>
    <t>01.04.03</t>
  </si>
  <si>
    <t>01.04.04</t>
  </si>
  <si>
    <t>01.05.01</t>
  </si>
  <si>
    <t>Фундаментальные математика и механика</t>
  </si>
  <si>
    <t>01.06.01</t>
  </si>
  <si>
    <t>Математика и механика</t>
  </si>
  <si>
    <t>02.00.00</t>
  </si>
  <si>
    <t>КОМПЬЮТЕРНЫЕ И ИНФОРМАЦИОННЫЕ НАУКИ</t>
  </si>
  <si>
    <t>02.03.01</t>
  </si>
  <si>
    <t>Математика и компьютерные науки</t>
  </si>
  <si>
    <t>02.03.02</t>
  </si>
  <si>
    <t>Фундаментальная информатика и информационные технологии</t>
  </si>
  <si>
    <t>02.03.03</t>
  </si>
  <si>
    <t>02.04.01</t>
  </si>
  <si>
    <t>02.04.02</t>
  </si>
  <si>
    <t>02.04.03</t>
  </si>
  <si>
    <t>Математическое обеспечение и администрирование информационных систем</t>
  </si>
  <si>
    <t>02.06.01</t>
  </si>
  <si>
    <t>Компьютерные и информационные науки</t>
  </si>
  <si>
    <t>03.00.00</t>
  </si>
  <si>
    <t>ФИЗИКА И АСТРОНОМИЯ</t>
  </si>
  <si>
    <t>03.03.01</t>
  </si>
  <si>
    <t>Прикладные математика и физика</t>
  </si>
  <si>
    <t>03.03.02</t>
  </si>
  <si>
    <t>03.03.03</t>
  </si>
  <si>
    <t>03.04.01</t>
  </si>
  <si>
    <t>03.04.02</t>
  </si>
  <si>
    <t>Физика</t>
  </si>
  <si>
    <t>03.04.03</t>
  </si>
  <si>
    <t>Радиофизика</t>
  </si>
  <si>
    <t>04.00.00</t>
  </si>
  <si>
    <t>ХИМИЯ</t>
  </si>
  <si>
    <t>04.03.02</t>
  </si>
  <si>
    <t>Химия, физика и механика материалов</t>
  </si>
  <si>
    <t>04.04.01</t>
  </si>
  <si>
    <t>Химия</t>
  </si>
  <si>
    <t>05.00.00</t>
  </si>
  <si>
    <t>НАУКИ О ЗЕМЛЕ</t>
  </si>
  <si>
    <t>05.02.01</t>
  </si>
  <si>
    <t>Картография</t>
  </si>
  <si>
    <t>05.03.04</t>
  </si>
  <si>
    <t>Гидрометеорология</t>
  </si>
  <si>
    <t>06.00.00</t>
  </si>
  <si>
    <t>БИОЛОГИЧЕСКИЕ НАУКИ</t>
  </si>
  <si>
    <t>06.04.01</t>
  </si>
  <si>
    <t>Биология</t>
  </si>
  <si>
    <t>07.00.00</t>
  </si>
  <si>
    <t>АРХИТЕКТУРА</t>
  </si>
  <si>
    <t>07.03.03</t>
  </si>
  <si>
    <t>Дизайн архитектурной среды</t>
  </si>
  <si>
    <t>08.00.00</t>
  </si>
  <si>
    <t>ТЕХНИКА И ТЕХНОЛОГИИ СТРОИТЕЛЬСТВА</t>
  </si>
  <si>
    <t>08.02.03</t>
  </si>
  <si>
    <t>Производство неметаллических строительных изделий и конструкций</t>
  </si>
  <si>
    <t>08.02.05</t>
  </si>
  <si>
    <t>Строительство и эксплуатация автомобильных дорог и аэродромов</t>
  </si>
  <si>
    <t>08.02.08</t>
  </si>
  <si>
    <t>Монтаж и эксплуатация оборудования и систем газоснабжения</t>
  </si>
  <si>
    <t>08.04.01</t>
  </si>
  <si>
    <t>Строительство</t>
  </si>
  <si>
    <t>09.00.00</t>
  </si>
  <si>
    <t>ИНФОРМАТИКА И ВЫЧИСЛИТЕЛЬНАЯ ТЕХНИКА</t>
  </si>
  <si>
    <t>09.01.01</t>
  </si>
  <si>
    <t>Наладчик аппаратного и программного обеспечения</t>
  </si>
  <si>
    <t>09.01.02</t>
  </si>
  <si>
    <t>Наладчик компьютерных сетей</t>
  </si>
  <si>
    <t>09.01.03</t>
  </si>
  <si>
    <t>Мастер по обработке цифровой информации</t>
  </si>
  <si>
    <t>Компьютерные системы и комплексы</t>
  </si>
  <si>
    <t>09.02.02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</si>
  <si>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</si>
  <si>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</si>
  <si>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</si>
  <si>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</si>
  <si>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09.02.06</t>
  </si>
  <si>
    <t>Сетевое и системное администрирование</t>
  </si>
  <si>
    <t>Информационные системы и программирование</t>
  </si>
  <si>
    <t>Информатика и вычислительная техника</t>
  </si>
  <si>
    <t>09.03.02</t>
  </si>
  <si>
    <t>Информационные системы и технологии</t>
  </si>
  <si>
    <t>Прикладная информатика</t>
  </si>
  <si>
    <t>Программная инженерия</t>
  </si>
  <si>
    <t>09.04.01</t>
  </si>
  <si>
    <t>09.04.02</t>
  </si>
  <si>
    <t>09.04.03</t>
  </si>
  <si>
    <t>09.04.04</t>
  </si>
  <si>
    <t>09.05.01</t>
  </si>
  <si>
    <t>Применение и эксплуатация автоматизированных систем специального назначения</t>
  </si>
  <si>
    <t>09.06.01</t>
  </si>
  <si>
    <t>10.00.00</t>
  </si>
  <si>
    <t>ИНФОРМАЦИОННАЯ БЕЗОПАСНОСТЬ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</si>
  <si>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</si>
  <si>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</si>
  <si>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</si>
  <si>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</si>
  <si>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</si>
  <si>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</si>
  <si>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</si>
  <si>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</si>
  <si>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</si>
  <si>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Информационная безопасность</t>
  </si>
  <si>
    <t>10.04.01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</si>
  <si>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</si>
  <si>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</si>
  <si>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</si>
  <si>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</si>
  <si>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</si>
  <si>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</si>
  <si>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</si>
  <si>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информационых технологий в правоохранительной сфере</t>
  </si>
  <si>
    <t>10.05.07</t>
  </si>
  <si>
    <t>Противодействие техническим разведкам</t>
  </si>
  <si>
    <t>10.06.01</t>
  </si>
  <si>
    <t>11.00.00</t>
  </si>
  <si>
    <t>ЭЛЕКТРОНИКА, РАДИОТЕХНИКА И СИСТЕМЫ СВЯЗИ</t>
  </si>
  <si>
    <t>11.01.05</t>
  </si>
  <si>
    <t>Монтажник связи</t>
  </si>
  <si>
    <t>11.01.09</t>
  </si>
  <si>
    <t>Оператор микроэлектронного производства</t>
  </si>
  <si>
    <t>11.02.07</t>
  </si>
  <si>
    <t>Радиотехнические информационные системы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</si>
  <si>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</si>
  <si>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</si>
  <si>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</si>
  <si>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</si>
  <si>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</si>
  <si>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</si>
  <si>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11.02.14</t>
  </si>
  <si>
    <t>Электронные приборы и устройства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</si>
  <si>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</si>
  <si>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</si>
  <si>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</si>
  <si>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</si>
  <si>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11.03.01</t>
  </si>
  <si>
    <t>Радиотехника</t>
  </si>
  <si>
    <t>11.03.02</t>
  </si>
  <si>
    <t>Инфокоммуникационные технологии и системы связи</t>
  </si>
  <si>
    <t>11.03.03</t>
  </si>
  <si>
    <t>Конструирование и технология электронных средств</t>
  </si>
  <si>
    <t>11.03.04</t>
  </si>
  <si>
    <t>Электроника и наноэлектроника</t>
  </si>
  <si>
    <t>11.04.01</t>
  </si>
  <si>
    <t>11.04.02</t>
  </si>
  <si>
    <t>11.04.03</t>
  </si>
  <si>
    <t>11.04.04</t>
  </si>
  <si>
    <t>11.05.04</t>
  </si>
  <si>
    <t>Инфокоммуникационные технологии и системы специальной связи</t>
  </si>
  <si>
    <t>12.00.00</t>
  </si>
  <si>
    <t>ФОТОНИКА, ПРИБОРОСТРОЕНИЕ, ОПТИЧЕСКИЕ И БИОТЕХНИЧЕСКИЕ СИСТЕМЫ И ТЕХНОЛОГИИ</t>
  </si>
  <si>
    <t>12.02.10</t>
  </si>
  <si>
    <t>Монтаж, техническое обслуживание и ремонт биотехнических и медицинских аппаратов и систем</t>
  </si>
  <si>
    <t>12.03.01</t>
  </si>
  <si>
    <t>Приборостроение</t>
  </si>
  <si>
    <t>12.03.03</t>
  </si>
  <si>
    <t>Фотоника и оптоинформатика</t>
  </si>
  <si>
    <t>12.03.04</t>
  </si>
  <si>
    <t>Биотехнические системы и технологии</t>
  </si>
  <si>
    <t>13.00.00</t>
  </si>
  <si>
    <t>ЭЛЕКТРО- И ТЕПЛОЭНЕРГЕТИКА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</si>
  <si>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</si>
  <si>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</si>
  <si>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</si>
  <si>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</si>
  <si>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13.02.09</t>
  </si>
  <si>
    <t>Монтаж и эксплуатация линий электропередачи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</si>
  <si>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</si>
  <si>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</si>
  <si>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14.00.00</t>
  </si>
  <si>
    <t>ЯДЕРНАЯ ЭНЕРГЕТИКА И ТЕХНОЛОГИИ</t>
  </si>
  <si>
    <t>14.04.02</t>
  </si>
  <si>
    <t>Ядерные физика и технологии</t>
  </si>
  <si>
    <t>15.00.00</t>
  </si>
  <si>
    <t>МАШИНОСТРОЕНИЕ</t>
  </si>
  <si>
    <t>15.01.26</t>
  </si>
  <si>
    <t>Токарь-универсал</t>
  </si>
  <si>
    <t>15.01.27</t>
  </si>
  <si>
    <t>Фрезеровщик-универсал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</si>
  <si>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</si>
  <si>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</si>
  <si>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</si>
  <si>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</si>
  <si>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</si>
  <si>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</si>
  <si>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</si>
  <si>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</si>
  <si>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</si>
  <si>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</si>
  <si>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15.02.03</t>
  </si>
  <si>
    <t>Техническая эксплуатация гидравлических машин, гидроприводов и гидропневмоавтоматики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</si>
  <si>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</si>
  <si>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</si>
  <si>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</si>
  <si>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</si>
  <si>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</si>
  <si>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</si>
  <si>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</si>
  <si>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</si>
  <si>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</si>
  <si>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</si>
  <si>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</si>
  <si>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</si>
  <si>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</si>
  <si>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</si>
  <si>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15.03.01</t>
  </si>
  <si>
    <t>Машиностроение</t>
  </si>
  <si>
    <t>15.03.02</t>
  </si>
  <si>
    <t>Технологические машины и оборудование</t>
  </si>
  <si>
    <t>15.03.03</t>
  </si>
  <si>
    <t>Прикладная механика</t>
  </si>
  <si>
    <t>Автоматизация технологических процессов и производств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</si>
  <si>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</si>
  <si>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</si>
  <si>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</si>
  <si>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роботехника</t>
  </si>
  <si>
    <t>15.04.01</t>
  </si>
  <si>
    <t>15.04.02</t>
  </si>
  <si>
    <t>15.04.04</t>
  </si>
  <si>
    <t>15.04.05</t>
  </si>
  <si>
    <t>15.04.06</t>
  </si>
  <si>
    <t>15.05.01</t>
  </si>
  <si>
    <t>Проектирование технологических машин и комплексов</t>
  </si>
  <si>
    <t>15.06.01</t>
  </si>
  <si>
    <t>16.00.00</t>
  </si>
  <si>
    <t>ФИЗИКО-ТЕХНИЧЕСКИЕ НАУКИ И ТЕХНОЛОГИИ</t>
  </si>
  <si>
    <t>16.03.01</t>
  </si>
  <si>
    <t>Техническая физика</t>
  </si>
  <si>
    <t>16.03.02</t>
  </si>
  <si>
    <t>Высокотехнологические плазменные и энергетические установки</t>
  </si>
  <si>
    <t>16.03.03</t>
  </si>
  <si>
    <t>Холодильная, криогенная техника и системы жизнеобеспечения</t>
  </si>
  <si>
    <t>18.00.00</t>
  </si>
  <si>
    <t>ХИМИЧЕСКИЕ ТЕХНОЛОГИИ</t>
  </si>
  <si>
    <t>18.02.12</t>
  </si>
  <si>
    <t>Технология аналитического контроля химических соединений</t>
  </si>
  <si>
    <t>20.00.00</t>
  </si>
  <si>
    <t>ТЕХНОСФЕРНАЯ БЕЗОПАСНОСТЬ И ПРИРОДООБУСТРОЙСТВО</t>
  </si>
  <si>
    <t>20.04.01</t>
  </si>
  <si>
    <t>Техносферная безопасность</t>
  </si>
  <si>
    <t>20.04.02</t>
  </si>
  <si>
    <t>Природообустройство и водопользование</t>
  </si>
  <si>
    <t>20.05.01</t>
  </si>
  <si>
    <t>Пожарная безопасность</t>
  </si>
  <si>
    <t>21.00.00</t>
  </si>
  <si>
    <t>ПРИКЛАДНАЯ ГЕОЛОГИЯ, ГОРНОЕ ДЕЛО, НЕФТЕГАЗОВОЕ ДЕЛО И ГЕОДЕЗИЯ</t>
  </si>
  <si>
    <t>21.02.06</t>
  </si>
  <si>
    <t>Информационные системы обеспечения градостроительной деятельности</t>
  </si>
  <si>
    <t>21.02.12</t>
  </si>
  <si>
    <t>Технология и техника разведки месторождений полезных ископаемых</t>
  </si>
  <si>
    <t>21.04.01</t>
  </si>
  <si>
    <t>Нефтегазовое дело</t>
  </si>
  <si>
    <t>22.00.00</t>
  </si>
  <si>
    <t>ТЕХНОЛОГИИ МАТЕРИАЛОВ</t>
  </si>
  <si>
    <t>22.03.01</t>
  </si>
  <si>
    <t>Материаловедение и технологии материалов</t>
  </si>
  <si>
    <t>22.04.01</t>
  </si>
  <si>
    <t>23.00.00</t>
  </si>
  <si>
    <t>ТЕХНИКА И ТЕХНОЛОГИИ НАЗЕМНОГО ТРАНСПОРТА</t>
  </si>
  <si>
    <t>23.02.01</t>
  </si>
  <si>
    <t>Организация перевозок и управление на транспорте (по видам)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</si>
  <si>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</si>
  <si>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</si>
  <si>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23.02.06</t>
  </si>
  <si>
    <t>Техническая эксплуатация подвижного состава железных дорог</t>
  </si>
  <si>
    <t>23.03.01</t>
  </si>
  <si>
    <t>Технология транспортных процессов</t>
  </si>
  <si>
    <t>23.03.02</t>
  </si>
  <si>
    <t>Наземные транспортно-технологические комплексы</t>
  </si>
  <si>
    <t>23.03.03</t>
  </si>
  <si>
    <t>Эксплуатация транспортно-технологических машин и комплексов</t>
  </si>
  <si>
    <t>23.04.01</t>
  </si>
  <si>
    <t>23.04.02</t>
  </si>
  <si>
    <t>23.04.03</t>
  </si>
  <si>
    <t>24.00.00</t>
  </si>
  <si>
    <t>АВИАЦИОННАЯ И РАКЕТНО-КОСМИЧЕСКАЯ ТЕХНИКА</t>
  </si>
  <si>
    <t>24.03.01</t>
  </si>
  <si>
    <t>Ракетные комплексы и космонавтика</t>
  </si>
  <si>
    <t>24.04.01</t>
  </si>
  <si>
    <t>24.04.02</t>
  </si>
  <si>
    <t>Системы управления движением и навигация</t>
  </si>
  <si>
    <t>24.04.04</t>
  </si>
  <si>
    <t>Авиастроение</t>
  </si>
  <si>
    <t>24.04.05</t>
  </si>
  <si>
    <t>Двигатели летательных аппаратов</t>
  </si>
  <si>
    <t>26.00.00</t>
  </si>
  <si>
    <t>ТЕХНИКА И ТЕХНОЛОГИИ КОРАБЛЕСТРОЕНИЯ И ВОДНОГО ТРАНСПОРТА</t>
  </si>
  <si>
    <t>26.02.01</t>
  </si>
  <si>
    <t>Эксплуатация внутренних водных путей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</si>
  <si>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</si>
  <si>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</si>
  <si>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</si>
  <si>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</si>
  <si>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</si>
  <si>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</si>
  <si>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26.03.01</t>
  </si>
  <si>
    <t>Управление водным транспортом и гидрографическое обеспечение судоходства</t>
  </si>
  <si>
    <t>26.03.02</t>
  </si>
  <si>
    <t>Кораблестроение, океанотехника и системотехника объектов морской инфраструктуры</t>
  </si>
  <si>
    <t>27.00.00</t>
  </si>
  <si>
    <t>УПРАВЛЕНИЕ В ТЕХНИЧЕСКИХ СИСТЕМАХ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</si>
  <si>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</si>
  <si>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</si>
  <si>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</si>
  <si>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</si>
  <si>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</si>
  <si>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</si>
  <si>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</si>
  <si>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</si>
  <si>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</si>
  <si>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</si>
  <si>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</si>
  <si>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</si>
  <si>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</si>
  <si>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</si>
  <si>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27.03.02</t>
  </si>
  <si>
    <t>Управление качеством</t>
  </si>
  <si>
    <t>27.03.04</t>
  </si>
  <si>
    <t>Управление в технических системах</t>
  </si>
  <si>
    <t>Инноватика</t>
  </si>
  <si>
    <t>27.04.02</t>
  </si>
  <si>
    <t>Системный анализ и управление</t>
  </si>
  <si>
    <t>27.04.04</t>
  </si>
  <si>
    <t>27.04.05</t>
  </si>
  <si>
    <t>27.04.06</t>
  </si>
  <si>
    <t>Организация и управление наукоемкими производствами</t>
  </si>
  <si>
    <t>27.04.07</t>
  </si>
  <si>
    <t>Наукоемкие технологии и экономика инноваций</t>
  </si>
  <si>
    <t>27.06.01</t>
  </si>
  <si>
    <t>28.00.00</t>
  </si>
  <si>
    <t>НАНОТЕХНОЛОГИИ И НАНОМАТЕРИАЛЫ</t>
  </si>
  <si>
    <t>28.03.01</t>
  </si>
  <si>
    <t>Нанотехнологии и микросистемная техника</t>
  </si>
  <si>
    <t>31.00.00</t>
  </si>
  <si>
    <t>КЛИНИЧЕСКАЯ МЕДИЦИНА</t>
  </si>
  <si>
    <t>31.02.01</t>
  </si>
  <si>
    <t>Лечебное дело</t>
  </si>
  <si>
    <t>31.02.02</t>
  </si>
  <si>
    <t>Акушерское дело</t>
  </si>
  <si>
    <t>33.00.00</t>
  </si>
  <si>
    <t>ФАРМАЦИЯ</t>
  </si>
  <si>
    <t>33.02.01</t>
  </si>
  <si>
    <t>Фармация</t>
  </si>
  <si>
    <t>35.00.00</t>
  </si>
  <si>
    <t>СЕЛЬСКОЕ, ЛЕСНОЕ И РЫБНОЕ ХОЗЯЙСТВО</t>
  </si>
  <si>
    <t>35.02.08</t>
  </si>
  <si>
    <t>Электрификация и автоматизация сельского хозяйства</t>
  </si>
  <si>
    <t>35.04.08</t>
  </si>
  <si>
    <t>Промышленное рыболовство</t>
  </si>
  <si>
    <t>37.00.00</t>
  </si>
  <si>
    <t>ПСИХОЛОГИЧЕСКИЕ НАУКИ</t>
  </si>
  <si>
    <t>37.04.02</t>
  </si>
  <si>
    <t>Конфликтология</t>
  </si>
  <si>
    <t>38.00.00</t>
  </si>
  <si>
    <t>ЭКОНОМИКА И УПРАВЛЕНИЕ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</si>
  <si>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</si>
  <si>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</si>
  <si>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</si>
  <si>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</si>
  <si>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</si>
  <si>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</si>
  <si>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</si>
  <si>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</si>
  <si>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</si>
  <si>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</si>
  <si>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</si>
  <si>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</si>
  <si>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</si>
  <si>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</si>
  <si>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Экономика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</si>
  <si>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</si>
  <si>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</si>
  <si>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</si>
  <si>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</si>
  <si>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</si>
  <si>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Бизнес-информатика</t>
  </si>
  <si>
    <t>38.03.06</t>
  </si>
  <si>
    <t>Торговое дело</t>
  </si>
  <si>
    <t>38.03.07</t>
  </si>
  <si>
    <t>Товароведение</t>
  </si>
  <si>
    <t>38.03.10</t>
  </si>
  <si>
    <t>Жилищное хозяйство и коммунальная инфраструктура</t>
  </si>
  <si>
    <t>38.04.02</t>
  </si>
  <si>
    <t>38.04.03</t>
  </si>
  <si>
    <t>38.04.04</t>
  </si>
  <si>
    <t>38.04.05</t>
  </si>
  <si>
    <t>38.04.06</t>
  </si>
  <si>
    <t>38.04.07</t>
  </si>
  <si>
    <t>38.04.08</t>
  </si>
  <si>
    <t>Финансы и кредит</t>
  </si>
  <si>
    <t>38.04.09</t>
  </si>
  <si>
    <t>Государственный аудит</t>
  </si>
  <si>
    <t>38.05.01</t>
  </si>
  <si>
    <t>Экономическая безопасность</t>
  </si>
  <si>
    <t>38.05.02</t>
  </si>
  <si>
    <t>Таможенное дело</t>
  </si>
  <si>
    <t>39.00.00</t>
  </si>
  <si>
    <t>СОЦИОЛОГИЯ И СОЦИАЛЬНАЯ РАБОТА</t>
  </si>
  <si>
    <t>39.03.01</t>
  </si>
  <si>
    <t>Социология</t>
  </si>
  <si>
    <t>39.04.01</t>
  </si>
  <si>
    <t>40.00.00</t>
  </si>
  <si>
    <t>ЮРИСПРУДЕНЦИЯ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</si>
  <si>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</si>
  <si>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</si>
  <si>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</si>
  <si>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</si>
  <si>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</si>
  <si>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</si>
  <si>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</si>
  <si>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</si>
  <si>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</si>
  <si>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</si>
  <si>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</si>
  <si>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</si>
  <si>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</si>
  <si>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</si>
  <si>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40.05.04</t>
  </si>
  <si>
    <t>Судебная и прокурорская деятельность</t>
  </si>
  <si>
    <t>40.06.01</t>
  </si>
  <si>
    <t>41.00.00</t>
  </si>
  <si>
    <t>ПОЛИТИЧЕСКИЕ НАУКИ И РЕГИОНОВЕДЕНИЕ</t>
  </si>
  <si>
    <t>41.03.04</t>
  </si>
  <si>
    <t>Политология</t>
  </si>
  <si>
    <t>41.03.06</t>
  </si>
  <si>
    <t>Публичная политика и социальные науки</t>
  </si>
  <si>
    <t>41.04.05</t>
  </si>
  <si>
    <t>Международные отношения</t>
  </si>
  <si>
    <t>42.00.00</t>
  </si>
  <si>
    <t>СРЕДСТВА МАССОВОЙ ИНФОРМАЦИИ И ИНФОРМАЦИОННО-БИБЛИОТЕЧНОЕ ДЕЛО</t>
  </si>
  <si>
    <t>42.03.02</t>
  </si>
  <si>
    <t>Журналистика</t>
  </si>
  <si>
    <t>42.03.05</t>
  </si>
  <si>
    <t>Медиакоммуникации</t>
  </si>
  <si>
    <t>43.00.00</t>
  </si>
  <si>
    <t>СЕРВИС И ТУРИЗМ</t>
  </si>
  <si>
    <t>Сервис домашнего и коммунального хозяйства</t>
  </si>
  <si>
    <t>43.02.10</t>
  </si>
  <si>
    <t>Туризм</t>
  </si>
  <si>
    <t>43.03.01</t>
  </si>
  <si>
    <t>Сервис</t>
  </si>
  <si>
    <t>43.03.02</t>
  </si>
  <si>
    <t>44.00.00</t>
  </si>
  <si>
    <t>ОБРАЗОВАНИЕ И ПЕДАГОГИЧЕСКИЕ НАУКИ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</si>
  <si>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</si>
  <si>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</si>
  <si>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</si>
  <si>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</si>
  <si>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</si>
  <si>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</si>
  <si>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</si>
  <si>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</si>
  <si>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</si>
  <si>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</si>
  <si>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</si>
  <si>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</si>
  <si>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</si>
  <si>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</si>
  <si>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</si>
  <si>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</si>
  <si>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</si>
  <si>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</si>
  <si>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</si>
  <si>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44.03.05</t>
  </si>
  <si>
    <t>Педагогическое образование (с двумя профилями подготовки)</t>
  </si>
  <si>
    <t>44.04.01</t>
  </si>
  <si>
    <t>44.04.02</t>
  </si>
  <si>
    <t>44.04.03</t>
  </si>
  <si>
    <t>44.04.04</t>
  </si>
  <si>
    <t>44.05.01</t>
  </si>
  <si>
    <t>Педагогика и психология девиантного поведения</t>
  </si>
  <si>
    <t>44.06.01</t>
  </si>
  <si>
    <t>Образование и педагогические науки</t>
  </si>
  <si>
    <t>45.00.00</t>
  </si>
  <si>
    <t>ЯЗЫКОЗНАНИЕ И ЛИТЕРАТУРОВЕДЕНИЕ</t>
  </si>
  <si>
    <t>45.03.04</t>
  </si>
  <si>
    <t>Интеллектуальные системы в гуманитарной сфере</t>
  </si>
  <si>
    <t>45.04.04</t>
  </si>
  <si>
    <t>45.06.01</t>
  </si>
  <si>
    <t>Языкознание и литературоведение</t>
  </si>
  <si>
    <t>46.00.00</t>
  </si>
  <si>
    <t>ИСТОРИЯ И АРХЕОЛОГИЯ</t>
  </si>
  <si>
    <t>46.03.01</t>
  </si>
  <si>
    <t>История</t>
  </si>
  <si>
    <t>46.03.02</t>
  </si>
  <si>
    <t>Документоведение и архивоведение</t>
  </si>
  <si>
    <t>46.04.01</t>
  </si>
  <si>
    <t>46.04.02</t>
  </si>
  <si>
    <t>47.00.00</t>
  </si>
  <si>
    <t>ФИЛОСОФИЯ, ЭТИКА И РЕЛИГИОВЕДЕНИЕ</t>
  </si>
  <si>
    <t>47.03.01</t>
  </si>
  <si>
    <t>Философия</t>
  </si>
  <si>
    <t>47.04.01</t>
  </si>
  <si>
    <t>50.00.00</t>
  </si>
  <si>
    <t>ИСКУССТВОЗНАНИЕ</t>
  </si>
  <si>
    <t>50.03.01</t>
  </si>
  <si>
    <t>Искусства и гуманитарные науки</t>
  </si>
  <si>
    <t>51.00.00</t>
  </si>
  <si>
    <t>КУЛЬТУРОВЕДЕНИЕ И СОЦИОКУЛЬТУРНЫЕ ПРОЕКТЫ</t>
  </si>
  <si>
    <t>51.03.06</t>
  </si>
  <si>
    <t>Библиотечно-информационная деятельность</t>
  </si>
  <si>
    <t>54.00.00</t>
  </si>
  <si>
    <t>ИЗОБРАЗИТЕЛЬНОЕ И ПРИКЛАДНЫЕ ВИДЫ ИСКУССТВ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</si>
  <si>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</si>
  <si>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</si>
  <si>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</si>
  <si>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</si>
  <si>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</si>
  <si>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</si>
  <si>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</si>
  <si>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</si>
  <si>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</si>
  <si>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</si>
  <si>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</si>
  <si>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</si>
  <si>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</si>
  <si>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</si>
  <si>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</si>
  <si>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</si>
  <si>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</si>
  <si>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</si>
  <si>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</si>
  <si>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</si>
  <si>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</si>
  <si>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</si>
  <si>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</si>
  <si>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</si>
  <si>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</si>
  <si>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</si>
  <si>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</si>
  <si>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</si>
  <si>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</si>
  <si>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</si>
  <si>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</si>
  <si>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</si>
  <si>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</si>
  <si>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</si>
  <si>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</si>
  <si>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</si>
  <si>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</si>
  <si>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</si>
  <si>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</si>
  <si>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</si>
  <si>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</si>
  <si>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</si>
  <si>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</si>
  <si>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</si>
  <si>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</si>
  <si>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</si>
  <si>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</si>
  <si>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</si>
  <si>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</si>
  <si>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</si>
  <si>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</si>
  <si>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</si>
  <si>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</si>
  <si>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</si>
  <si>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</si>
  <si>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54.03.01</t>
  </si>
  <si>
    <t>Дизайн</t>
  </si>
  <si>
    <t>54.03.03</t>
  </si>
  <si>
    <t>Искусство костюма и текстиля</t>
  </si>
  <si>
    <t>54.04.01</t>
  </si>
  <si>
    <t>54.05.03</t>
  </si>
  <si>
    <t>Графика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</si>
</sst>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711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7" t="s">
        <v>0</v>
      </c>
      <c r="B1" s="17"/>
      <c r="C1" s="17"/>
      <c r="D1" s="17"/>
      <c r="E1" s="17"/>
      <c r="F1" s="18" t="s">
        <v>1</v>
      </c>
      <c r="G1" s="18"/>
      <c r="H1" s="18"/>
      <c r="I1" s="18"/>
      <c r="J1" s="20" t="s">
        <v>2</v>
      </c>
      <c r="K1" s="20"/>
      <c r="L1" s="20"/>
      <c r="M1" s="20"/>
      <c r="N1" s="20"/>
      <c r="O1" s="20"/>
    </row>
    <row r="2" spans="1:27" s="1" customFormat="1" ht="15" customHeight="1">
      <c r="A2" s="21" t="s">
        <v>3</v>
      </c>
      <c r="B2" s="21"/>
      <c r="C2" s="21"/>
      <c r="D2" s="21"/>
      <c r="E2" s="21"/>
      <c r="F2" s="19"/>
      <c r="G2" s="19"/>
      <c r="H2" s="19"/>
      <c r="I2" s="19"/>
      <c r="J2" s="22" t="s">
        <v>4</v>
      </c>
      <c r="K2" s="22"/>
      <c r="L2" s="22"/>
      <c r="M2" s="22"/>
      <c r="N2" s="22"/>
      <c r="O2" s="22"/>
    </row>
    <row r="3" spans="1:27" s="1" customFormat="1" ht="15" customHeight="1">
      <c r="A3" s="21" t="s">
        <v>5</v>
      </c>
      <c r="B3" s="21"/>
      <c r="C3" s="21"/>
      <c r="D3" s="21"/>
      <c r="E3" s="21"/>
      <c r="F3" s="19"/>
      <c r="G3" s="19"/>
      <c r="H3" s="19"/>
      <c r="I3" s="19"/>
      <c r="J3" s="23"/>
      <c r="K3" s="23"/>
      <c r="L3" s="23"/>
      <c r="M3" s="23"/>
      <c r="N3" s="23"/>
      <c r="O3" s="23"/>
    </row>
    <row r="4" spans="1:27" s="1" customFormat="1" ht="15" customHeight="1">
      <c r="A4" s="27" t="str">
        <f>HYPERLINK("mailto:books@infra-m.ru", "mailto:books@infra-m.ru")</f>
        <v>mailto:books@infra-m.ru</v>
      </c>
      <c r="B4" s="24"/>
      <c r="C4" s="24"/>
      <c r="D4" s="24"/>
      <c r="E4" s="24"/>
      <c r="F4" s="19"/>
      <c r="G4" s="19"/>
      <c r="H4" s="19"/>
      <c r="I4" s="19"/>
      <c r="J4" s="23"/>
      <c r="K4" s="23"/>
      <c r="L4" s="23"/>
      <c r="M4" s="23"/>
      <c r="N4" s="23"/>
      <c r="O4" s="23"/>
    </row>
    <row r="5" spans="1:27" s="1" customFormat="1" ht="15" customHeight="1">
      <c r="A5" s="27" t="str">
        <f>HYPERLINK("https://infra-m.ru", "https://infra-m.ru")</f>
        <v>https://infra-m.ru</v>
      </c>
      <c r="B5" s="24"/>
      <c r="C5" s="24"/>
      <c r="D5" s="24"/>
      <c r="E5" s="24"/>
      <c r="F5" s="19"/>
      <c r="G5" s="19"/>
      <c r="H5" s="19"/>
      <c r="I5" s="19"/>
      <c r="J5" s="23"/>
      <c r="K5" s="23"/>
      <c r="L5" s="23"/>
      <c r="M5" s="23"/>
      <c r="N5" s="23"/>
      <c r="O5" s="23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51.95" customHeight="1">
      <c r="A8" s="5">
        <v>0</v>
      </c>
      <c r="B8" s="6" t="s">
        <v>33</v>
      </c>
      <c r="C8" s="7">
        <v>844.9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/>
      <c r="J8" s="9">
        <v>16</v>
      </c>
      <c r="K8" s="9">
        <v>288</v>
      </c>
      <c r="L8" s="9">
        <v>2017</v>
      </c>
      <c r="M8" s="8" t="s">
        <v>39</v>
      </c>
      <c r="N8" s="8" t="s">
        <v>40</v>
      </c>
      <c r="O8" s="8" t="s">
        <v>41</v>
      </c>
      <c r="P8" s="6" t="s">
        <v>42</v>
      </c>
      <c r="Q8" s="8" t="s">
        <v>43</v>
      </c>
      <c r="R8" s="10" t="s">
        <v>44</v>
      </c>
      <c r="S8" s="11" t="s">
        <v>45</v>
      </c>
      <c r="T8" s="6"/>
      <c r="U8" s="28" t="str">
        <f>HYPERLINK("https://media.infra-m.ru/0772/0772498/cover/772498.jpg", "Обложка")</f>
        <v>Обложка</v>
      </c>
      <c r="V8" s="28" t="str">
        <f>HYPERLINK("https://znanium.com/catalog/product/2080466", "Ознакомиться")</f>
        <v>Ознакомиться</v>
      </c>
      <c r="W8" s="8" t="s">
        <v>46</v>
      </c>
      <c r="X8" s="6"/>
      <c r="Y8" s="6"/>
      <c r="Z8" s="6"/>
      <c r="AA8" s="6" t="s">
        <v>47</v>
      </c>
    </row>
    <row r="9" spans="1:27" s="4" customFormat="1" ht="51.95" customHeight="1">
      <c r="A9" s="5">
        <v>0</v>
      </c>
      <c r="B9" s="6" t="s">
        <v>48</v>
      </c>
      <c r="C9" s="13">
        <v>1544</v>
      </c>
      <c r="D9" s="8" t="s">
        <v>49</v>
      </c>
      <c r="E9" s="8" t="s">
        <v>50</v>
      </c>
      <c r="F9" s="8" t="s">
        <v>51</v>
      </c>
      <c r="G9" s="6" t="s">
        <v>52</v>
      </c>
      <c r="H9" s="6" t="s">
        <v>53</v>
      </c>
      <c r="I9" s="8" t="s">
        <v>54</v>
      </c>
      <c r="J9" s="9">
        <v>1</v>
      </c>
      <c r="K9" s="9">
        <v>333</v>
      </c>
      <c r="L9" s="9">
        <v>2023</v>
      </c>
      <c r="M9" s="8" t="s">
        <v>55</v>
      </c>
      <c r="N9" s="8" t="s">
        <v>40</v>
      </c>
      <c r="O9" s="8" t="s">
        <v>41</v>
      </c>
      <c r="P9" s="6" t="s">
        <v>42</v>
      </c>
      <c r="Q9" s="8" t="s">
        <v>43</v>
      </c>
      <c r="R9" s="10" t="s">
        <v>56</v>
      </c>
      <c r="S9" s="11" t="s">
        <v>57</v>
      </c>
      <c r="T9" s="6"/>
      <c r="U9" s="28" t="str">
        <f>HYPERLINK("https://media.infra-m.ru/2110/2110911/cover/2110911.jpg", "Обложка")</f>
        <v>Обложка</v>
      </c>
      <c r="V9" s="28" t="str">
        <f>HYPERLINK("https://znanium.com/catalog/product/2084152", "Ознакомиться")</f>
        <v>Ознакомиться</v>
      </c>
      <c r="W9" s="8" t="s">
        <v>58</v>
      </c>
      <c r="X9" s="6"/>
      <c r="Y9" s="6"/>
      <c r="Z9" s="6"/>
      <c r="AA9" s="6" t="s">
        <v>59</v>
      </c>
    </row>
    <row r="10" spans="1:27" s="4" customFormat="1" ht="42" customHeight="1">
      <c r="A10" s="5">
        <v>0</v>
      </c>
      <c r="B10" s="6" t="s">
        <v>60</v>
      </c>
      <c r="C10" s="13">
        <v>1540</v>
      </c>
      <c r="D10" s="8" t="s">
        <v>61</v>
      </c>
      <c r="E10" s="8" t="s">
        <v>62</v>
      </c>
      <c r="F10" s="8" t="s">
        <v>63</v>
      </c>
      <c r="G10" s="6" t="s">
        <v>37</v>
      </c>
      <c r="H10" s="6" t="s">
        <v>53</v>
      </c>
      <c r="I10" s="8" t="s">
        <v>64</v>
      </c>
      <c r="J10" s="9">
        <v>1</v>
      </c>
      <c r="K10" s="9">
        <v>333</v>
      </c>
      <c r="L10" s="9">
        <v>2024</v>
      </c>
      <c r="M10" s="8" t="s">
        <v>65</v>
      </c>
      <c r="N10" s="8" t="s">
        <v>40</v>
      </c>
      <c r="O10" s="8" t="s">
        <v>41</v>
      </c>
      <c r="P10" s="6" t="s">
        <v>42</v>
      </c>
      <c r="Q10" s="8" t="s">
        <v>66</v>
      </c>
      <c r="R10" s="10" t="s">
        <v>67</v>
      </c>
      <c r="S10" s="11"/>
      <c r="T10" s="6"/>
      <c r="U10" s="28" t="str">
        <f>HYPERLINK("https://media.infra-m.ru/1851/1851648/cover/1851648.jpg", "Обложка")</f>
        <v>Обложка</v>
      </c>
      <c r="V10" s="28" t="str">
        <f>HYPERLINK("https://znanium.com/catalog/product/1851648", "Ознакомиться")</f>
        <v>Ознакомиться</v>
      </c>
      <c r="W10" s="8" t="s">
        <v>58</v>
      </c>
      <c r="X10" s="6" t="s">
        <v>68</v>
      </c>
      <c r="Y10" s="6"/>
      <c r="Z10" s="6" t="s">
        <v>69</v>
      </c>
      <c r="AA10" s="6" t="s">
        <v>70</v>
      </c>
    </row>
    <row r="11" spans="1:27" s="4" customFormat="1" ht="51.95" customHeight="1">
      <c r="A11" s="5">
        <v>0</v>
      </c>
      <c r="B11" s="6" t="s">
        <v>71</v>
      </c>
      <c r="C11" s="7">
        <v>810</v>
      </c>
      <c r="D11" s="8" t="s">
        <v>72</v>
      </c>
      <c r="E11" s="8" t="s">
        <v>73</v>
      </c>
      <c r="F11" s="8" t="s">
        <v>51</v>
      </c>
      <c r="G11" s="6" t="s">
        <v>74</v>
      </c>
      <c r="H11" s="6" t="s">
        <v>53</v>
      </c>
      <c r="I11" s="8" t="s">
        <v>75</v>
      </c>
      <c r="J11" s="9">
        <v>1</v>
      </c>
      <c r="K11" s="9">
        <v>270</v>
      </c>
      <c r="L11" s="9">
        <v>2019</v>
      </c>
      <c r="M11" s="8" t="s">
        <v>76</v>
      </c>
      <c r="N11" s="8" t="s">
        <v>40</v>
      </c>
      <c r="O11" s="8" t="s">
        <v>41</v>
      </c>
      <c r="P11" s="6" t="s">
        <v>42</v>
      </c>
      <c r="Q11" s="8" t="s">
        <v>43</v>
      </c>
      <c r="R11" s="10" t="s">
        <v>56</v>
      </c>
      <c r="S11" s="11" t="s">
        <v>77</v>
      </c>
      <c r="T11" s="6"/>
      <c r="U11" s="28" t="str">
        <f>HYPERLINK("https://media.infra-m.ru/0994/0994914/cover/994914.jpg", "Обложка")</f>
        <v>Обложка</v>
      </c>
      <c r="V11" s="28" t="str">
        <f>HYPERLINK("https://znanium.com/catalog/product/2084152", "Ознакомиться")</f>
        <v>Ознакомиться</v>
      </c>
      <c r="W11" s="8" t="s">
        <v>58</v>
      </c>
      <c r="X11" s="6"/>
      <c r="Y11" s="6"/>
      <c r="Z11" s="6"/>
      <c r="AA11" s="6" t="s">
        <v>78</v>
      </c>
    </row>
    <row r="12" spans="1:27" s="4" customFormat="1" ht="44.1" customHeight="1">
      <c r="A12" s="5">
        <v>0</v>
      </c>
      <c r="B12" s="6" t="s">
        <v>79</v>
      </c>
      <c r="C12" s="7">
        <v>320</v>
      </c>
      <c r="D12" s="8" t="s">
        <v>80</v>
      </c>
      <c r="E12" s="8" t="s">
        <v>81</v>
      </c>
      <c r="F12" s="8" t="s">
        <v>82</v>
      </c>
      <c r="G12" s="6" t="s">
        <v>74</v>
      </c>
      <c r="H12" s="6" t="s">
        <v>83</v>
      </c>
      <c r="I12" s="8" t="s">
        <v>84</v>
      </c>
      <c r="J12" s="9">
        <v>1</v>
      </c>
      <c r="K12" s="9">
        <v>119</v>
      </c>
      <c r="L12" s="9">
        <v>2017</v>
      </c>
      <c r="M12" s="8" t="s">
        <v>85</v>
      </c>
      <c r="N12" s="8" t="s">
        <v>40</v>
      </c>
      <c r="O12" s="8" t="s">
        <v>41</v>
      </c>
      <c r="P12" s="6" t="s">
        <v>86</v>
      </c>
      <c r="Q12" s="8" t="s">
        <v>43</v>
      </c>
      <c r="R12" s="10" t="s">
        <v>87</v>
      </c>
      <c r="S12" s="11"/>
      <c r="T12" s="6"/>
      <c r="U12" s="28" t="str">
        <f>HYPERLINK("https://media.infra-m.ru/0858/0858775/cover/858775.jpg", "Обложка")</f>
        <v>Обложка</v>
      </c>
      <c r="V12" s="28" t="str">
        <f>HYPERLINK("https://znanium.com/catalog/product/858775", "Ознакомиться")</f>
        <v>Ознакомиться</v>
      </c>
      <c r="W12" s="8" t="s">
        <v>88</v>
      </c>
      <c r="X12" s="6"/>
      <c r="Y12" s="6"/>
      <c r="Z12" s="6"/>
      <c r="AA12" s="6" t="s">
        <v>89</v>
      </c>
    </row>
    <row r="13" spans="1:27" s="4" customFormat="1" ht="51.95" customHeight="1">
      <c r="A13" s="5">
        <v>0</v>
      </c>
      <c r="B13" s="6" t="s">
        <v>90</v>
      </c>
      <c r="C13" s="7">
        <v>650</v>
      </c>
      <c r="D13" s="8" t="s">
        <v>91</v>
      </c>
      <c r="E13" s="8" t="s">
        <v>92</v>
      </c>
      <c r="F13" s="8" t="s">
        <v>93</v>
      </c>
      <c r="G13" s="6" t="s">
        <v>74</v>
      </c>
      <c r="H13" s="6" t="s">
        <v>83</v>
      </c>
      <c r="I13" s="8" t="s">
        <v>84</v>
      </c>
      <c r="J13" s="9">
        <v>1</v>
      </c>
      <c r="K13" s="9">
        <v>138</v>
      </c>
      <c r="L13" s="9">
        <v>2024</v>
      </c>
      <c r="M13" s="8" t="s">
        <v>94</v>
      </c>
      <c r="N13" s="8" t="s">
        <v>40</v>
      </c>
      <c r="O13" s="8" t="s">
        <v>41</v>
      </c>
      <c r="P13" s="6" t="s">
        <v>86</v>
      </c>
      <c r="Q13" s="8" t="s">
        <v>66</v>
      </c>
      <c r="R13" s="10" t="s">
        <v>95</v>
      </c>
      <c r="S13" s="11"/>
      <c r="T13" s="6"/>
      <c r="U13" s="28" t="str">
        <f>HYPERLINK("https://media.infra-m.ru/2093/2093909/cover/2093909.jpg", "Обложка")</f>
        <v>Обложка</v>
      </c>
      <c r="V13" s="12"/>
      <c r="W13" s="8" t="s">
        <v>88</v>
      </c>
      <c r="X13" s="6"/>
      <c r="Y13" s="6"/>
      <c r="Z13" s="6" t="s">
        <v>69</v>
      </c>
      <c r="AA13" s="6" t="s">
        <v>96</v>
      </c>
    </row>
    <row r="14" spans="1:27" s="4" customFormat="1" ht="44.1" customHeight="1">
      <c r="A14" s="5">
        <v>0</v>
      </c>
      <c r="B14" s="6" t="s">
        <v>97</v>
      </c>
      <c r="C14" s="7">
        <v>624.9</v>
      </c>
      <c r="D14" s="8" t="s">
        <v>98</v>
      </c>
      <c r="E14" s="8" t="s">
        <v>92</v>
      </c>
      <c r="F14" s="8" t="s">
        <v>93</v>
      </c>
      <c r="G14" s="6" t="s">
        <v>74</v>
      </c>
      <c r="H14" s="6" t="s">
        <v>83</v>
      </c>
      <c r="I14" s="8" t="s">
        <v>84</v>
      </c>
      <c r="J14" s="9">
        <v>1</v>
      </c>
      <c r="K14" s="9">
        <v>138</v>
      </c>
      <c r="L14" s="9">
        <v>2023</v>
      </c>
      <c r="M14" s="8" t="s">
        <v>99</v>
      </c>
      <c r="N14" s="8" t="s">
        <v>40</v>
      </c>
      <c r="O14" s="8" t="s">
        <v>41</v>
      </c>
      <c r="P14" s="6" t="s">
        <v>86</v>
      </c>
      <c r="Q14" s="8" t="s">
        <v>43</v>
      </c>
      <c r="R14" s="10" t="s">
        <v>87</v>
      </c>
      <c r="S14" s="11"/>
      <c r="T14" s="6"/>
      <c r="U14" s="28" t="str">
        <f>HYPERLINK("https://media.infra-m.ru/1915/1915342/cover/1915342.jpg", "Обложка")</f>
        <v>Обложка</v>
      </c>
      <c r="V14" s="28" t="str">
        <f>HYPERLINK("https://znanium.com/catalog/product/858775", "Ознакомиться")</f>
        <v>Ознакомиться</v>
      </c>
      <c r="W14" s="8" t="s">
        <v>88</v>
      </c>
      <c r="X14" s="6"/>
      <c r="Y14" s="6"/>
      <c r="Z14" s="6"/>
      <c r="AA14" s="6" t="s">
        <v>96</v>
      </c>
    </row>
    <row r="15" spans="1:27" s="4" customFormat="1" ht="51.95" customHeight="1">
      <c r="A15" s="5">
        <v>0</v>
      </c>
      <c r="B15" s="6" t="s">
        <v>100</v>
      </c>
      <c r="C15" s="7">
        <v>802</v>
      </c>
      <c r="D15" s="8" t="s">
        <v>101</v>
      </c>
      <c r="E15" s="8" t="s">
        <v>102</v>
      </c>
      <c r="F15" s="8" t="s">
        <v>103</v>
      </c>
      <c r="G15" s="6" t="s">
        <v>74</v>
      </c>
      <c r="H15" s="6" t="s">
        <v>53</v>
      </c>
      <c r="I15" s="8" t="s">
        <v>64</v>
      </c>
      <c r="J15" s="9">
        <v>1</v>
      </c>
      <c r="K15" s="9">
        <v>136</v>
      </c>
      <c r="L15" s="9">
        <v>2023</v>
      </c>
      <c r="M15" s="8" t="s">
        <v>104</v>
      </c>
      <c r="N15" s="8" t="s">
        <v>40</v>
      </c>
      <c r="O15" s="8" t="s">
        <v>41</v>
      </c>
      <c r="P15" s="6" t="s">
        <v>42</v>
      </c>
      <c r="Q15" s="8" t="s">
        <v>66</v>
      </c>
      <c r="R15" s="10" t="s">
        <v>105</v>
      </c>
      <c r="S15" s="11" t="s">
        <v>106</v>
      </c>
      <c r="T15" s="6"/>
      <c r="U15" s="28" t="str">
        <f>HYPERLINK("https://media.infra-m.ru/2017/2017237/cover/2017237.jpg", "Обложка")</f>
        <v>Обложка</v>
      </c>
      <c r="V15" s="28" t="str">
        <f>HYPERLINK("https://znanium.com/catalog/product/2017237", "Ознакомиться")</f>
        <v>Ознакомиться</v>
      </c>
      <c r="W15" s="8" t="s">
        <v>107</v>
      </c>
      <c r="X15" s="6"/>
      <c r="Y15" s="6"/>
      <c r="Z15" s="6"/>
      <c r="AA15" s="6" t="s">
        <v>108</v>
      </c>
    </row>
    <row r="16" spans="1:27" s="4" customFormat="1" ht="51.95" customHeight="1">
      <c r="A16" s="5">
        <v>0</v>
      </c>
      <c r="B16" s="6" t="s">
        <v>109</v>
      </c>
      <c r="C16" s="13">
        <v>1214.9000000000001</v>
      </c>
      <c r="D16" s="8" t="s">
        <v>110</v>
      </c>
      <c r="E16" s="8" t="s">
        <v>111</v>
      </c>
      <c r="F16" s="8" t="s">
        <v>112</v>
      </c>
      <c r="G16" s="6" t="s">
        <v>52</v>
      </c>
      <c r="H16" s="6" t="s">
        <v>113</v>
      </c>
      <c r="I16" s="8" t="s">
        <v>64</v>
      </c>
      <c r="J16" s="9">
        <v>1</v>
      </c>
      <c r="K16" s="9">
        <v>269</v>
      </c>
      <c r="L16" s="9">
        <v>2023</v>
      </c>
      <c r="M16" s="8" t="s">
        <v>114</v>
      </c>
      <c r="N16" s="8" t="s">
        <v>40</v>
      </c>
      <c r="O16" s="8" t="s">
        <v>41</v>
      </c>
      <c r="P16" s="6" t="s">
        <v>115</v>
      </c>
      <c r="Q16" s="8" t="s">
        <v>66</v>
      </c>
      <c r="R16" s="10" t="s">
        <v>116</v>
      </c>
      <c r="S16" s="11"/>
      <c r="T16" s="6" t="s">
        <v>117</v>
      </c>
      <c r="U16" s="28" t="str">
        <f>HYPERLINK("https://media.infra-m.ru/1891/1891781/cover/1891781.jpg", "Обложка")</f>
        <v>Обложка</v>
      </c>
      <c r="V16" s="28" t="str">
        <f>HYPERLINK("https://znanium.com/catalog/product/1891781", "Ознакомиться")</f>
        <v>Ознакомиться</v>
      </c>
      <c r="W16" s="8" t="s">
        <v>118</v>
      </c>
      <c r="X16" s="6"/>
      <c r="Y16" s="6"/>
      <c r="Z16" s="6" t="s">
        <v>119</v>
      </c>
      <c r="AA16" s="6" t="s">
        <v>120</v>
      </c>
    </row>
    <row r="17" spans="1:27" s="4" customFormat="1" ht="42" customHeight="1">
      <c r="A17" s="5">
        <v>0</v>
      </c>
      <c r="B17" s="6" t="s">
        <v>121</v>
      </c>
      <c r="C17" s="13">
        <v>1214.9000000000001</v>
      </c>
      <c r="D17" s="8" t="s">
        <v>122</v>
      </c>
      <c r="E17" s="8" t="s">
        <v>111</v>
      </c>
      <c r="F17" s="8" t="s">
        <v>112</v>
      </c>
      <c r="G17" s="6" t="s">
        <v>74</v>
      </c>
      <c r="H17" s="6" t="s">
        <v>113</v>
      </c>
      <c r="I17" s="8" t="s">
        <v>123</v>
      </c>
      <c r="J17" s="9">
        <v>1</v>
      </c>
      <c r="K17" s="9">
        <v>269</v>
      </c>
      <c r="L17" s="9">
        <v>2023</v>
      </c>
      <c r="M17" s="8" t="s">
        <v>124</v>
      </c>
      <c r="N17" s="8" t="s">
        <v>40</v>
      </c>
      <c r="O17" s="8" t="s">
        <v>41</v>
      </c>
      <c r="P17" s="6" t="s">
        <v>115</v>
      </c>
      <c r="Q17" s="8" t="s">
        <v>125</v>
      </c>
      <c r="R17" s="10" t="s">
        <v>126</v>
      </c>
      <c r="S17" s="11"/>
      <c r="T17" s="6" t="s">
        <v>117</v>
      </c>
      <c r="U17" s="28" t="str">
        <f>HYPERLINK("https://media.infra-m.ru/1911/1911746/cover/1911746.jpg", "Обложка")</f>
        <v>Обложка</v>
      </c>
      <c r="V17" s="28" t="str">
        <f>HYPERLINK("https://znanium.com/catalog/product/1856551", "Ознакомиться")</f>
        <v>Ознакомиться</v>
      </c>
      <c r="W17" s="8" t="s">
        <v>118</v>
      </c>
      <c r="X17" s="6"/>
      <c r="Y17" s="6"/>
      <c r="Z17" s="6"/>
      <c r="AA17" s="6" t="s">
        <v>78</v>
      </c>
    </row>
    <row r="18" spans="1:27" s="4" customFormat="1" ht="42" customHeight="1">
      <c r="A18" s="5">
        <v>0</v>
      </c>
      <c r="B18" s="6" t="s">
        <v>127</v>
      </c>
      <c r="C18" s="7">
        <v>630</v>
      </c>
      <c r="D18" s="8" t="s">
        <v>128</v>
      </c>
      <c r="E18" s="8" t="s">
        <v>129</v>
      </c>
      <c r="F18" s="8" t="s">
        <v>130</v>
      </c>
      <c r="G18" s="6" t="s">
        <v>74</v>
      </c>
      <c r="H18" s="6" t="s">
        <v>113</v>
      </c>
      <c r="I18" s="8" t="s">
        <v>131</v>
      </c>
      <c r="J18" s="9">
        <v>1</v>
      </c>
      <c r="K18" s="9">
        <v>139</v>
      </c>
      <c r="L18" s="9">
        <v>2023</v>
      </c>
      <c r="M18" s="8" t="s">
        <v>132</v>
      </c>
      <c r="N18" s="8" t="s">
        <v>40</v>
      </c>
      <c r="O18" s="8" t="s">
        <v>41</v>
      </c>
      <c r="P18" s="6" t="s">
        <v>133</v>
      </c>
      <c r="Q18" s="8" t="s">
        <v>125</v>
      </c>
      <c r="R18" s="10" t="s">
        <v>134</v>
      </c>
      <c r="S18" s="11"/>
      <c r="T18" s="6"/>
      <c r="U18" s="28" t="str">
        <f>HYPERLINK("https://media.infra-m.ru/2029/2029695/cover/2029695.jpg", "Обложка")</f>
        <v>Обложка</v>
      </c>
      <c r="V18" s="12"/>
      <c r="W18" s="8" t="s">
        <v>135</v>
      </c>
      <c r="X18" s="6"/>
      <c r="Y18" s="6"/>
      <c r="Z18" s="6"/>
      <c r="AA18" s="6" t="s">
        <v>120</v>
      </c>
    </row>
    <row r="19" spans="1:27" s="4" customFormat="1" ht="51.95" customHeight="1">
      <c r="A19" s="5">
        <v>0</v>
      </c>
      <c r="B19" s="6" t="s">
        <v>136</v>
      </c>
      <c r="C19" s="7">
        <v>530</v>
      </c>
      <c r="D19" s="8" t="s">
        <v>137</v>
      </c>
      <c r="E19" s="8" t="s">
        <v>138</v>
      </c>
      <c r="F19" s="8" t="s">
        <v>139</v>
      </c>
      <c r="G19" s="6" t="s">
        <v>74</v>
      </c>
      <c r="H19" s="6" t="s">
        <v>83</v>
      </c>
      <c r="I19" s="8" t="s">
        <v>140</v>
      </c>
      <c r="J19" s="9">
        <v>1</v>
      </c>
      <c r="K19" s="9">
        <v>111</v>
      </c>
      <c r="L19" s="9">
        <v>2023</v>
      </c>
      <c r="M19" s="8" t="s">
        <v>141</v>
      </c>
      <c r="N19" s="8" t="s">
        <v>40</v>
      </c>
      <c r="O19" s="8" t="s">
        <v>41</v>
      </c>
      <c r="P19" s="6" t="s">
        <v>133</v>
      </c>
      <c r="Q19" s="8" t="s">
        <v>125</v>
      </c>
      <c r="R19" s="10" t="s">
        <v>142</v>
      </c>
      <c r="S19" s="11"/>
      <c r="T19" s="6"/>
      <c r="U19" s="28" t="str">
        <f>HYPERLINK("https://media.infra-m.ru/1915/1915704/cover/1915704.jpg", "Обложка")</f>
        <v>Обложка</v>
      </c>
      <c r="V19" s="28" t="str">
        <f>HYPERLINK("https://znanium.com/catalog/product/1915704", "Ознакомиться")</f>
        <v>Ознакомиться</v>
      </c>
      <c r="W19" s="8" t="s">
        <v>143</v>
      </c>
      <c r="X19" s="6"/>
      <c r="Y19" s="6"/>
      <c r="Z19" s="6"/>
      <c r="AA19" s="6" t="s">
        <v>144</v>
      </c>
    </row>
    <row r="20" spans="1:27" s="4" customFormat="1" ht="51.95" customHeight="1">
      <c r="A20" s="5">
        <v>0</v>
      </c>
      <c r="B20" s="6" t="s">
        <v>145</v>
      </c>
      <c r="C20" s="13">
        <v>1334.9</v>
      </c>
      <c r="D20" s="8" t="s">
        <v>146</v>
      </c>
      <c r="E20" s="8" t="s">
        <v>147</v>
      </c>
      <c r="F20" s="8" t="s">
        <v>148</v>
      </c>
      <c r="G20" s="6" t="s">
        <v>52</v>
      </c>
      <c r="H20" s="6" t="s">
        <v>149</v>
      </c>
      <c r="I20" s="8" t="s">
        <v>64</v>
      </c>
      <c r="J20" s="9">
        <v>1</v>
      </c>
      <c r="K20" s="9">
        <v>352</v>
      </c>
      <c r="L20" s="9">
        <v>2022</v>
      </c>
      <c r="M20" s="8" t="s">
        <v>150</v>
      </c>
      <c r="N20" s="8" t="s">
        <v>40</v>
      </c>
      <c r="O20" s="8" t="s">
        <v>41</v>
      </c>
      <c r="P20" s="6" t="s">
        <v>42</v>
      </c>
      <c r="Q20" s="8" t="s">
        <v>66</v>
      </c>
      <c r="R20" s="10" t="s">
        <v>116</v>
      </c>
      <c r="S20" s="11" t="s">
        <v>151</v>
      </c>
      <c r="T20" s="6"/>
      <c r="U20" s="28" t="str">
        <f>HYPERLINK("https://media.infra-m.ru/1815/1815814/cover/1815814.jpg", "Обложка")</f>
        <v>Обложка</v>
      </c>
      <c r="V20" s="28" t="str">
        <f>HYPERLINK("https://znanium.com/catalog/product/1189320", "Ознакомиться")</f>
        <v>Ознакомиться</v>
      </c>
      <c r="W20" s="8" t="s">
        <v>152</v>
      </c>
      <c r="X20" s="6"/>
      <c r="Y20" s="6"/>
      <c r="Z20" s="6"/>
      <c r="AA20" s="6" t="s">
        <v>153</v>
      </c>
    </row>
    <row r="21" spans="1:27" s="4" customFormat="1" ht="51.95" customHeight="1">
      <c r="A21" s="5">
        <v>0</v>
      </c>
      <c r="B21" s="6" t="s">
        <v>154</v>
      </c>
      <c r="C21" s="13">
        <v>1130</v>
      </c>
      <c r="D21" s="8" t="s">
        <v>155</v>
      </c>
      <c r="E21" s="8" t="s">
        <v>156</v>
      </c>
      <c r="F21" s="8" t="s">
        <v>157</v>
      </c>
      <c r="G21" s="6" t="s">
        <v>52</v>
      </c>
      <c r="H21" s="6" t="s">
        <v>158</v>
      </c>
      <c r="I21" s="8" t="s">
        <v>159</v>
      </c>
      <c r="J21" s="9">
        <v>1</v>
      </c>
      <c r="K21" s="9">
        <v>240</v>
      </c>
      <c r="L21" s="9">
        <v>2023</v>
      </c>
      <c r="M21" s="8" t="s">
        <v>160</v>
      </c>
      <c r="N21" s="8" t="s">
        <v>40</v>
      </c>
      <c r="O21" s="8" t="s">
        <v>41</v>
      </c>
      <c r="P21" s="6" t="s">
        <v>161</v>
      </c>
      <c r="Q21" s="8" t="s">
        <v>43</v>
      </c>
      <c r="R21" s="10" t="s">
        <v>162</v>
      </c>
      <c r="S21" s="11" t="s">
        <v>163</v>
      </c>
      <c r="T21" s="6"/>
      <c r="U21" s="28" t="str">
        <f>HYPERLINK("https://media.infra-m.ru/2110/2110058/cover/2110058.jpg", "Обложка")</f>
        <v>Обложка</v>
      </c>
      <c r="V21" s="28" t="str">
        <f>HYPERLINK("https://znanium.com/catalog/product/2110058", "Ознакомиться")</f>
        <v>Ознакомиться</v>
      </c>
      <c r="W21" s="8" t="s">
        <v>164</v>
      </c>
      <c r="X21" s="6"/>
      <c r="Y21" s="6"/>
      <c r="Z21" s="6"/>
      <c r="AA21" s="6" t="s">
        <v>165</v>
      </c>
    </row>
    <row r="22" spans="1:27" s="4" customFormat="1" ht="51.95" customHeight="1">
      <c r="A22" s="5">
        <v>0</v>
      </c>
      <c r="B22" s="6" t="s">
        <v>166</v>
      </c>
      <c r="C22" s="7">
        <v>990</v>
      </c>
      <c r="D22" s="8" t="s">
        <v>167</v>
      </c>
      <c r="E22" s="8" t="s">
        <v>168</v>
      </c>
      <c r="F22" s="8" t="s">
        <v>169</v>
      </c>
      <c r="G22" s="6" t="s">
        <v>74</v>
      </c>
      <c r="H22" s="6" t="s">
        <v>113</v>
      </c>
      <c r="I22" s="8" t="s">
        <v>170</v>
      </c>
      <c r="J22" s="9">
        <v>1</v>
      </c>
      <c r="K22" s="9">
        <v>198</v>
      </c>
      <c r="L22" s="9">
        <v>2024</v>
      </c>
      <c r="M22" s="8" t="s">
        <v>171</v>
      </c>
      <c r="N22" s="8" t="s">
        <v>40</v>
      </c>
      <c r="O22" s="8" t="s">
        <v>41</v>
      </c>
      <c r="P22" s="6" t="s">
        <v>133</v>
      </c>
      <c r="Q22" s="8" t="s">
        <v>125</v>
      </c>
      <c r="R22" s="10" t="s">
        <v>172</v>
      </c>
      <c r="S22" s="11"/>
      <c r="T22" s="6"/>
      <c r="U22" s="28" t="str">
        <f>HYPERLINK("https://media.infra-m.ru/2049/2049718/cover/2049718.jpg", "Обложка")</f>
        <v>Обложка</v>
      </c>
      <c r="V22" s="28" t="str">
        <f>HYPERLINK("https://znanium.com/catalog/product/2049718", "Ознакомиться")</f>
        <v>Ознакомиться</v>
      </c>
      <c r="W22" s="8" t="s">
        <v>46</v>
      </c>
      <c r="X22" s="6" t="s">
        <v>68</v>
      </c>
      <c r="Y22" s="6"/>
      <c r="Z22" s="6"/>
      <c r="AA22" s="6" t="s">
        <v>173</v>
      </c>
    </row>
    <row r="23" spans="1:27" s="4" customFormat="1" ht="51.95" customHeight="1">
      <c r="A23" s="5">
        <v>0</v>
      </c>
      <c r="B23" s="6" t="s">
        <v>174</v>
      </c>
      <c r="C23" s="13">
        <v>1690</v>
      </c>
      <c r="D23" s="8" t="s">
        <v>175</v>
      </c>
      <c r="E23" s="8" t="s">
        <v>176</v>
      </c>
      <c r="F23" s="8" t="s">
        <v>177</v>
      </c>
      <c r="G23" s="6" t="s">
        <v>52</v>
      </c>
      <c r="H23" s="6" t="s">
        <v>113</v>
      </c>
      <c r="I23" s="8" t="s">
        <v>140</v>
      </c>
      <c r="J23" s="9">
        <v>1</v>
      </c>
      <c r="K23" s="9">
        <v>374</v>
      </c>
      <c r="L23" s="9">
        <v>2023</v>
      </c>
      <c r="M23" s="8" t="s">
        <v>178</v>
      </c>
      <c r="N23" s="8" t="s">
        <v>40</v>
      </c>
      <c r="O23" s="8" t="s">
        <v>41</v>
      </c>
      <c r="P23" s="6" t="s">
        <v>133</v>
      </c>
      <c r="Q23" s="8" t="s">
        <v>125</v>
      </c>
      <c r="R23" s="10" t="s">
        <v>179</v>
      </c>
      <c r="S23" s="11"/>
      <c r="T23" s="6"/>
      <c r="U23" s="28" t="str">
        <f>HYPERLINK("https://media.infra-m.ru/1895/1895672/cover/1895672.jpg", "Обложка")</f>
        <v>Обложка</v>
      </c>
      <c r="V23" s="28" t="str">
        <f>HYPERLINK("https://znanium.com/catalog/product/1895672", "Ознакомиться")</f>
        <v>Ознакомиться</v>
      </c>
      <c r="W23" s="8" t="s">
        <v>180</v>
      </c>
      <c r="X23" s="6"/>
      <c r="Y23" s="6"/>
      <c r="Z23" s="6"/>
      <c r="AA23" s="6" t="s">
        <v>181</v>
      </c>
    </row>
    <row r="24" spans="1:27" s="4" customFormat="1" ht="51.95" customHeight="1">
      <c r="A24" s="5">
        <v>0</v>
      </c>
      <c r="B24" s="6" t="s">
        <v>182</v>
      </c>
      <c r="C24" s="13">
        <v>2354</v>
      </c>
      <c r="D24" s="8" t="s">
        <v>183</v>
      </c>
      <c r="E24" s="8" t="s">
        <v>184</v>
      </c>
      <c r="F24" s="8" t="s">
        <v>185</v>
      </c>
      <c r="G24" s="6" t="s">
        <v>52</v>
      </c>
      <c r="H24" s="6" t="s">
        <v>53</v>
      </c>
      <c r="I24" s="8" t="s">
        <v>64</v>
      </c>
      <c r="J24" s="9">
        <v>1</v>
      </c>
      <c r="K24" s="9">
        <v>511</v>
      </c>
      <c r="L24" s="9">
        <v>2024</v>
      </c>
      <c r="M24" s="8" t="s">
        <v>186</v>
      </c>
      <c r="N24" s="8" t="s">
        <v>40</v>
      </c>
      <c r="O24" s="8" t="s">
        <v>41</v>
      </c>
      <c r="P24" s="6" t="s">
        <v>161</v>
      </c>
      <c r="Q24" s="8" t="s">
        <v>66</v>
      </c>
      <c r="R24" s="10" t="s">
        <v>187</v>
      </c>
      <c r="S24" s="11" t="s">
        <v>188</v>
      </c>
      <c r="T24" s="6"/>
      <c r="U24" s="28" t="str">
        <f>HYPERLINK("https://media.infra-m.ru/2110/2110930/cover/2110930.jpg", "Обложка")</f>
        <v>Обложка</v>
      </c>
      <c r="V24" s="28" t="str">
        <f>HYPERLINK("https://znanium.com/catalog/product/2083334", "Ознакомиться")</f>
        <v>Ознакомиться</v>
      </c>
      <c r="W24" s="8" t="s">
        <v>189</v>
      </c>
      <c r="X24" s="6"/>
      <c r="Y24" s="6" t="s">
        <v>30</v>
      </c>
      <c r="Z24" s="6"/>
      <c r="AA24" s="6" t="s">
        <v>190</v>
      </c>
    </row>
    <row r="25" spans="1:27" s="4" customFormat="1" ht="44.1" customHeight="1">
      <c r="A25" s="5">
        <v>0</v>
      </c>
      <c r="B25" s="6" t="s">
        <v>191</v>
      </c>
      <c r="C25" s="13">
        <v>1740</v>
      </c>
      <c r="D25" s="8" t="s">
        <v>192</v>
      </c>
      <c r="E25" s="8" t="s">
        <v>193</v>
      </c>
      <c r="F25" s="8" t="s">
        <v>194</v>
      </c>
      <c r="G25" s="6" t="s">
        <v>52</v>
      </c>
      <c r="H25" s="6" t="s">
        <v>158</v>
      </c>
      <c r="I25" s="8" t="s">
        <v>64</v>
      </c>
      <c r="J25" s="9">
        <v>1</v>
      </c>
      <c r="K25" s="9">
        <v>384</v>
      </c>
      <c r="L25" s="9">
        <v>2023</v>
      </c>
      <c r="M25" s="8" t="s">
        <v>195</v>
      </c>
      <c r="N25" s="8" t="s">
        <v>40</v>
      </c>
      <c r="O25" s="8" t="s">
        <v>41</v>
      </c>
      <c r="P25" s="6" t="s">
        <v>161</v>
      </c>
      <c r="Q25" s="8" t="s">
        <v>66</v>
      </c>
      <c r="R25" s="10" t="s">
        <v>196</v>
      </c>
      <c r="S25" s="11"/>
      <c r="T25" s="6"/>
      <c r="U25" s="28" t="str">
        <f>HYPERLINK("https://media.infra-m.ru/1916/1916205/cover/1916205.jpg", "Обложка")</f>
        <v>Обложка</v>
      </c>
      <c r="V25" s="28" t="str">
        <f>HYPERLINK("https://znanium.com/catalog/product/1916205", "Ознакомиться")</f>
        <v>Ознакомиться</v>
      </c>
      <c r="W25" s="8" t="s">
        <v>197</v>
      </c>
      <c r="X25" s="6"/>
      <c r="Y25" s="6"/>
      <c r="Z25" s="6"/>
      <c r="AA25" s="6" t="s">
        <v>144</v>
      </c>
    </row>
    <row r="26" spans="1:27" s="4" customFormat="1" ht="51.95" customHeight="1">
      <c r="A26" s="5">
        <v>0</v>
      </c>
      <c r="B26" s="6" t="s">
        <v>198</v>
      </c>
      <c r="C26" s="13">
        <v>1764</v>
      </c>
      <c r="D26" s="8" t="s">
        <v>199</v>
      </c>
      <c r="E26" s="8" t="s">
        <v>200</v>
      </c>
      <c r="F26" s="8" t="s">
        <v>201</v>
      </c>
      <c r="G26" s="6" t="s">
        <v>52</v>
      </c>
      <c r="H26" s="6" t="s">
        <v>149</v>
      </c>
      <c r="I26" s="8" t="s">
        <v>64</v>
      </c>
      <c r="J26" s="9">
        <v>1</v>
      </c>
      <c r="K26" s="9">
        <v>383</v>
      </c>
      <c r="L26" s="9">
        <v>2024</v>
      </c>
      <c r="M26" s="8" t="s">
        <v>202</v>
      </c>
      <c r="N26" s="8" t="s">
        <v>40</v>
      </c>
      <c r="O26" s="8" t="s">
        <v>41</v>
      </c>
      <c r="P26" s="6" t="s">
        <v>42</v>
      </c>
      <c r="Q26" s="8" t="s">
        <v>66</v>
      </c>
      <c r="R26" s="10" t="s">
        <v>203</v>
      </c>
      <c r="S26" s="11" t="s">
        <v>151</v>
      </c>
      <c r="T26" s="6"/>
      <c r="U26" s="28" t="str">
        <f>HYPERLINK("https://media.infra-m.ru/2104/2104816/cover/2104816.jpg", "Обложка")</f>
        <v>Обложка</v>
      </c>
      <c r="V26" s="28" t="str">
        <f>HYPERLINK("https://znanium.com/catalog/product/1896460", "Ознакомиться")</f>
        <v>Ознакомиться</v>
      </c>
      <c r="W26" s="8" t="s">
        <v>204</v>
      </c>
      <c r="X26" s="6"/>
      <c r="Y26" s="6"/>
      <c r="Z26" s="6"/>
      <c r="AA26" s="6" t="s">
        <v>205</v>
      </c>
    </row>
    <row r="27" spans="1:27" s="4" customFormat="1" ht="51.95" customHeight="1">
      <c r="A27" s="5">
        <v>0</v>
      </c>
      <c r="B27" s="6" t="s">
        <v>206</v>
      </c>
      <c r="C27" s="13">
        <v>1750</v>
      </c>
      <c r="D27" s="8" t="s">
        <v>207</v>
      </c>
      <c r="E27" s="8" t="s">
        <v>208</v>
      </c>
      <c r="F27" s="8" t="s">
        <v>209</v>
      </c>
      <c r="G27" s="6" t="s">
        <v>52</v>
      </c>
      <c r="H27" s="6" t="s">
        <v>149</v>
      </c>
      <c r="I27" s="8" t="s">
        <v>54</v>
      </c>
      <c r="J27" s="9">
        <v>1</v>
      </c>
      <c r="K27" s="9">
        <v>383</v>
      </c>
      <c r="L27" s="9">
        <v>2023</v>
      </c>
      <c r="M27" s="8" t="s">
        <v>210</v>
      </c>
      <c r="N27" s="8" t="s">
        <v>40</v>
      </c>
      <c r="O27" s="8" t="s">
        <v>41</v>
      </c>
      <c r="P27" s="6" t="s">
        <v>161</v>
      </c>
      <c r="Q27" s="8" t="s">
        <v>43</v>
      </c>
      <c r="R27" s="10" t="s">
        <v>211</v>
      </c>
      <c r="S27" s="11" t="s">
        <v>212</v>
      </c>
      <c r="T27" s="6"/>
      <c r="U27" s="28" t="str">
        <f>HYPERLINK("https://media.infra-m.ru/1893/1893910/cover/1893910.jpg", "Обложка")</f>
        <v>Обложка</v>
      </c>
      <c r="V27" s="28" t="str">
        <f>HYPERLINK("https://znanium.com/catalog/product/1893910", "Ознакомиться")</f>
        <v>Ознакомиться</v>
      </c>
      <c r="W27" s="8"/>
      <c r="X27" s="6"/>
      <c r="Y27" s="6"/>
      <c r="Z27" s="6"/>
      <c r="AA27" s="6" t="s">
        <v>47</v>
      </c>
    </row>
    <row r="28" spans="1:27" s="4" customFormat="1" ht="51.95" customHeight="1">
      <c r="A28" s="5">
        <v>0</v>
      </c>
      <c r="B28" s="6" t="s">
        <v>213</v>
      </c>
      <c r="C28" s="13">
        <v>1350</v>
      </c>
      <c r="D28" s="8" t="s">
        <v>214</v>
      </c>
      <c r="E28" s="8" t="s">
        <v>215</v>
      </c>
      <c r="F28" s="8" t="s">
        <v>216</v>
      </c>
      <c r="G28" s="6" t="s">
        <v>52</v>
      </c>
      <c r="H28" s="6" t="s">
        <v>53</v>
      </c>
      <c r="I28" s="8" t="s">
        <v>64</v>
      </c>
      <c r="J28" s="9">
        <v>1</v>
      </c>
      <c r="K28" s="9">
        <v>287</v>
      </c>
      <c r="L28" s="9">
        <v>2021</v>
      </c>
      <c r="M28" s="8" t="s">
        <v>217</v>
      </c>
      <c r="N28" s="8" t="s">
        <v>40</v>
      </c>
      <c r="O28" s="8" t="s">
        <v>41</v>
      </c>
      <c r="P28" s="6" t="s">
        <v>86</v>
      </c>
      <c r="Q28" s="8" t="s">
        <v>66</v>
      </c>
      <c r="R28" s="10" t="s">
        <v>218</v>
      </c>
      <c r="S28" s="11" t="s">
        <v>219</v>
      </c>
      <c r="T28" s="6"/>
      <c r="U28" s="28" t="str">
        <f>HYPERLINK("https://media.infra-m.ru/1241/1241807/cover/1241807.jpg", "Обложка")</f>
        <v>Обложка</v>
      </c>
      <c r="V28" s="28" t="str">
        <f>HYPERLINK("https://znanium.com/catalog/product/1241807", "Ознакомиться")</f>
        <v>Ознакомиться</v>
      </c>
      <c r="W28" s="8" t="s">
        <v>220</v>
      </c>
      <c r="X28" s="6"/>
      <c r="Y28" s="6"/>
      <c r="Z28" s="6" t="s">
        <v>69</v>
      </c>
      <c r="AA28" s="6" t="s">
        <v>120</v>
      </c>
    </row>
    <row r="29" spans="1:27" s="4" customFormat="1" ht="51.95" customHeight="1">
      <c r="A29" s="5">
        <v>0</v>
      </c>
      <c r="B29" s="6" t="s">
        <v>221</v>
      </c>
      <c r="C29" s="13">
        <v>1270</v>
      </c>
      <c r="D29" s="8" t="s">
        <v>222</v>
      </c>
      <c r="E29" s="8" t="s">
        <v>223</v>
      </c>
      <c r="F29" s="8" t="s">
        <v>216</v>
      </c>
      <c r="G29" s="6" t="s">
        <v>37</v>
      </c>
      <c r="H29" s="6" t="s">
        <v>53</v>
      </c>
      <c r="I29" s="8" t="s">
        <v>64</v>
      </c>
      <c r="J29" s="9">
        <v>1</v>
      </c>
      <c r="K29" s="9">
        <v>303</v>
      </c>
      <c r="L29" s="9">
        <v>2019</v>
      </c>
      <c r="M29" s="8" t="s">
        <v>224</v>
      </c>
      <c r="N29" s="8" t="s">
        <v>40</v>
      </c>
      <c r="O29" s="8" t="s">
        <v>41</v>
      </c>
      <c r="P29" s="6" t="s">
        <v>42</v>
      </c>
      <c r="Q29" s="8" t="s">
        <v>66</v>
      </c>
      <c r="R29" s="10" t="s">
        <v>116</v>
      </c>
      <c r="S29" s="11" t="s">
        <v>225</v>
      </c>
      <c r="T29" s="6"/>
      <c r="U29" s="28" t="str">
        <f>HYPERLINK("https://media.infra-m.ru/0961/0961507/cover/961507.jpg", "Обложка")</f>
        <v>Обложка</v>
      </c>
      <c r="V29" s="28" t="str">
        <f>HYPERLINK("https://znanium.com/catalog/product/961507", "Ознакомиться")</f>
        <v>Ознакомиться</v>
      </c>
      <c r="W29" s="8" t="s">
        <v>220</v>
      </c>
      <c r="X29" s="6"/>
      <c r="Y29" s="6"/>
      <c r="Z29" s="6" t="s">
        <v>69</v>
      </c>
      <c r="AA29" s="6" t="s">
        <v>226</v>
      </c>
    </row>
    <row r="30" spans="1:27" s="4" customFormat="1" ht="51.95" customHeight="1">
      <c r="A30" s="5">
        <v>0</v>
      </c>
      <c r="B30" s="6" t="s">
        <v>227</v>
      </c>
      <c r="C30" s="13">
        <v>1684.9</v>
      </c>
      <c r="D30" s="8" t="s">
        <v>228</v>
      </c>
      <c r="E30" s="8" t="s">
        <v>215</v>
      </c>
      <c r="F30" s="8" t="s">
        <v>216</v>
      </c>
      <c r="G30" s="6" t="s">
        <v>37</v>
      </c>
      <c r="H30" s="6" t="s">
        <v>53</v>
      </c>
      <c r="I30" s="8" t="s">
        <v>75</v>
      </c>
      <c r="J30" s="9">
        <v>1</v>
      </c>
      <c r="K30" s="9">
        <v>288</v>
      </c>
      <c r="L30" s="9">
        <v>2023</v>
      </c>
      <c r="M30" s="8" t="s">
        <v>229</v>
      </c>
      <c r="N30" s="8" t="s">
        <v>40</v>
      </c>
      <c r="O30" s="8" t="s">
        <v>41</v>
      </c>
      <c r="P30" s="6" t="s">
        <v>86</v>
      </c>
      <c r="Q30" s="8" t="s">
        <v>43</v>
      </c>
      <c r="R30" s="10" t="s">
        <v>230</v>
      </c>
      <c r="S30" s="11"/>
      <c r="T30" s="6"/>
      <c r="U30" s="28" t="str">
        <f>HYPERLINK("https://media.infra-m.ru/1911/1911813/cover/1911813.jpg", "Обложка")</f>
        <v>Обложка</v>
      </c>
      <c r="V30" s="28" t="str">
        <f>HYPERLINK("https://znanium.com/catalog/product/983576", "Ознакомиться")</f>
        <v>Ознакомиться</v>
      </c>
      <c r="W30" s="8" t="s">
        <v>220</v>
      </c>
      <c r="X30" s="6"/>
      <c r="Y30" s="6"/>
      <c r="Z30" s="6"/>
      <c r="AA30" s="6" t="s">
        <v>78</v>
      </c>
    </row>
    <row r="31" spans="1:27" s="4" customFormat="1" ht="51.95" customHeight="1">
      <c r="A31" s="5">
        <v>0</v>
      </c>
      <c r="B31" s="6" t="s">
        <v>231</v>
      </c>
      <c r="C31" s="13">
        <v>1817</v>
      </c>
      <c r="D31" s="8" t="s">
        <v>232</v>
      </c>
      <c r="E31" s="8" t="s">
        <v>233</v>
      </c>
      <c r="F31" s="8" t="s">
        <v>216</v>
      </c>
      <c r="G31" s="6" t="s">
        <v>37</v>
      </c>
      <c r="H31" s="6" t="s">
        <v>53</v>
      </c>
      <c r="I31" s="8" t="s">
        <v>75</v>
      </c>
      <c r="J31" s="9">
        <v>1</v>
      </c>
      <c r="K31" s="9">
        <v>304</v>
      </c>
      <c r="L31" s="9">
        <v>2024</v>
      </c>
      <c r="M31" s="8" t="s">
        <v>234</v>
      </c>
      <c r="N31" s="8" t="s">
        <v>40</v>
      </c>
      <c r="O31" s="8" t="s">
        <v>41</v>
      </c>
      <c r="P31" s="6" t="s">
        <v>42</v>
      </c>
      <c r="Q31" s="8" t="s">
        <v>43</v>
      </c>
      <c r="R31" s="10" t="s">
        <v>230</v>
      </c>
      <c r="S31" s="11" t="s">
        <v>235</v>
      </c>
      <c r="T31" s="6"/>
      <c r="U31" s="28" t="str">
        <f>HYPERLINK("https://media.infra-m.ru/2088/2088256/cover/2088256.jpg", "Обложка")</f>
        <v>Обложка</v>
      </c>
      <c r="V31" s="28" t="str">
        <f>HYPERLINK("https://znanium.com/catalog/product/1010026", "Ознакомиться")</f>
        <v>Ознакомиться</v>
      </c>
      <c r="W31" s="8" t="s">
        <v>220</v>
      </c>
      <c r="X31" s="6"/>
      <c r="Y31" s="6"/>
      <c r="Z31" s="6"/>
      <c r="AA31" s="6" t="s">
        <v>78</v>
      </c>
    </row>
    <row r="32" spans="1:27" s="4" customFormat="1" ht="51.95" customHeight="1">
      <c r="A32" s="5">
        <v>0</v>
      </c>
      <c r="B32" s="6" t="s">
        <v>236</v>
      </c>
      <c r="C32" s="7">
        <v>950</v>
      </c>
      <c r="D32" s="8" t="s">
        <v>237</v>
      </c>
      <c r="E32" s="8" t="s">
        <v>238</v>
      </c>
      <c r="F32" s="8" t="s">
        <v>239</v>
      </c>
      <c r="G32" s="6" t="s">
        <v>52</v>
      </c>
      <c r="H32" s="6" t="s">
        <v>113</v>
      </c>
      <c r="I32" s="8" t="s">
        <v>64</v>
      </c>
      <c r="J32" s="9">
        <v>1</v>
      </c>
      <c r="K32" s="9">
        <v>210</v>
      </c>
      <c r="L32" s="9">
        <v>2023</v>
      </c>
      <c r="M32" s="8" t="s">
        <v>240</v>
      </c>
      <c r="N32" s="8" t="s">
        <v>40</v>
      </c>
      <c r="O32" s="8" t="s">
        <v>41</v>
      </c>
      <c r="P32" s="6" t="s">
        <v>42</v>
      </c>
      <c r="Q32" s="8" t="s">
        <v>66</v>
      </c>
      <c r="R32" s="10" t="s">
        <v>241</v>
      </c>
      <c r="S32" s="11" t="s">
        <v>242</v>
      </c>
      <c r="T32" s="6"/>
      <c r="U32" s="28" t="str">
        <f>HYPERLINK("https://media.infra-m.ru/1899/1899319/cover/1899319.jpg", "Обложка")</f>
        <v>Обложка</v>
      </c>
      <c r="V32" s="28" t="str">
        <f>HYPERLINK("https://znanium.com/catalog/product/1899319", "Ознакомиться")</f>
        <v>Ознакомиться</v>
      </c>
      <c r="W32" s="8" t="s">
        <v>243</v>
      </c>
      <c r="X32" s="6"/>
      <c r="Y32" s="6"/>
      <c r="Z32" s="6" t="s">
        <v>244</v>
      </c>
      <c r="AA32" s="6" t="s">
        <v>245</v>
      </c>
    </row>
    <row r="33" spans="1:27" s="4" customFormat="1" ht="51.95" customHeight="1">
      <c r="A33" s="5">
        <v>0</v>
      </c>
      <c r="B33" s="6" t="s">
        <v>246</v>
      </c>
      <c r="C33" s="7">
        <v>950</v>
      </c>
      <c r="D33" s="8" t="s">
        <v>247</v>
      </c>
      <c r="E33" s="8" t="s">
        <v>238</v>
      </c>
      <c r="F33" s="8" t="s">
        <v>239</v>
      </c>
      <c r="G33" s="6" t="s">
        <v>52</v>
      </c>
      <c r="H33" s="6" t="s">
        <v>113</v>
      </c>
      <c r="I33" s="8" t="s">
        <v>248</v>
      </c>
      <c r="J33" s="9">
        <v>1</v>
      </c>
      <c r="K33" s="9">
        <v>210</v>
      </c>
      <c r="L33" s="9">
        <v>2023</v>
      </c>
      <c r="M33" s="8" t="s">
        <v>249</v>
      </c>
      <c r="N33" s="8" t="s">
        <v>40</v>
      </c>
      <c r="O33" s="8" t="s">
        <v>41</v>
      </c>
      <c r="P33" s="6" t="s">
        <v>42</v>
      </c>
      <c r="Q33" s="8" t="s">
        <v>250</v>
      </c>
      <c r="R33" s="10" t="s">
        <v>251</v>
      </c>
      <c r="S33" s="11" t="s">
        <v>252</v>
      </c>
      <c r="T33" s="6"/>
      <c r="U33" s="28" t="str">
        <f>HYPERLINK("https://media.infra-m.ru/1905/1905717/cover/1905717.jpg", "Обложка")</f>
        <v>Обложка</v>
      </c>
      <c r="V33" s="28" t="str">
        <f>HYPERLINK("https://znanium.com/catalog/product/1905717", "Ознакомиться")</f>
        <v>Ознакомиться</v>
      </c>
      <c r="W33" s="8" t="s">
        <v>243</v>
      </c>
      <c r="X33" s="6"/>
      <c r="Y33" s="6"/>
      <c r="Z33" s="6"/>
      <c r="AA33" s="6" t="s">
        <v>253</v>
      </c>
    </row>
    <row r="34" spans="1:27" s="4" customFormat="1" ht="51.95" customHeight="1">
      <c r="A34" s="5">
        <v>0</v>
      </c>
      <c r="B34" s="6" t="s">
        <v>254</v>
      </c>
      <c r="C34" s="13">
        <v>1700</v>
      </c>
      <c r="D34" s="8" t="s">
        <v>255</v>
      </c>
      <c r="E34" s="8" t="s">
        <v>256</v>
      </c>
      <c r="F34" s="8" t="s">
        <v>257</v>
      </c>
      <c r="G34" s="6" t="s">
        <v>52</v>
      </c>
      <c r="H34" s="6" t="s">
        <v>149</v>
      </c>
      <c r="I34" s="8" t="s">
        <v>54</v>
      </c>
      <c r="J34" s="9">
        <v>1</v>
      </c>
      <c r="K34" s="9">
        <v>368</v>
      </c>
      <c r="L34" s="9">
        <v>2024</v>
      </c>
      <c r="M34" s="8" t="s">
        <v>258</v>
      </c>
      <c r="N34" s="8" t="s">
        <v>40</v>
      </c>
      <c r="O34" s="8" t="s">
        <v>41</v>
      </c>
      <c r="P34" s="6" t="s">
        <v>42</v>
      </c>
      <c r="Q34" s="8" t="s">
        <v>43</v>
      </c>
      <c r="R34" s="10" t="s">
        <v>259</v>
      </c>
      <c r="S34" s="11" t="s">
        <v>260</v>
      </c>
      <c r="T34" s="6"/>
      <c r="U34" s="28" t="str">
        <f>HYPERLINK("https://media.infra-m.ru/2096/2096940/cover/2096940.jpg", "Обложка")</f>
        <v>Обложка</v>
      </c>
      <c r="V34" s="28" t="str">
        <f>HYPERLINK("https://znanium.com/catalog/product/2096940", "Ознакомиться")</f>
        <v>Ознакомиться</v>
      </c>
      <c r="W34" s="8" t="s">
        <v>261</v>
      </c>
      <c r="X34" s="6"/>
      <c r="Y34" s="6"/>
      <c r="Z34" s="6"/>
      <c r="AA34" s="6" t="s">
        <v>165</v>
      </c>
    </row>
    <row r="35" spans="1:27" s="4" customFormat="1" ht="51.95" customHeight="1">
      <c r="A35" s="5">
        <v>0</v>
      </c>
      <c r="B35" s="6" t="s">
        <v>262</v>
      </c>
      <c r="C35" s="13">
        <v>1660</v>
      </c>
      <c r="D35" s="8" t="s">
        <v>263</v>
      </c>
      <c r="E35" s="8" t="s">
        <v>264</v>
      </c>
      <c r="F35" s="8" t="s">
        <v>257</v>
      </c>
      <c r="G35" s="6" t="s">
        <v>52</v>
      </c>
      <c r="H35" s="6" t="s">
        <v>149</v>
      </c>
      <c r="I35" s="8" t="s">
        <v>64</v>
      </c>
      <c r="J35" s="9">
        <v>1</v>
      </c>
      <c r="K35" s="9">
        <v>368</v>
      </c>
      <c r="L35" s="9">
        <v>2023</v>
      </c>
      <c r="M35" s="8" t="s">
        <v>265</v>
      </c>
      <c r="N35" s="8" t="s">
        <v>40</v>
      </c>
      <c r="O35" s="8" t="s">
        <v>41</v>
      </c>
      <c r="P35" s="6" t="s">
        <v>42</v>
      </c>
      <c r="Q35" s="8" t="s">
        <v>66</v>
      </c>
      <c r="R35" s="10" t="s">
        <v>266</v>
      </c>
      <c r="S35" s="11" t="s">
        <v>267</v>
      </c>
      <c r="T35" s="6"/>
      <c r="U35" s="28" t="str">
        <f>HYPERLINK("https://media.infra-m.ru/1912/1912454/cover/1912454.jpg", "Обложка")</f>
        <v>Обложка</v>
      </c>
      <c r="V35" s="28" t="str">
        <f>HYPERLINK("https://znanium.com/catalog/product/1912454", "Ознакомиться")</f>
        <v>Ознакомиться</v>
      </c>
      <c r="W35" s="8" t="s">
        <v>261</v>
      </c>
      <c r="X35" s="6"/>
      <c r="Y35" s="6"/>
      <c r="Z35" s="6" t="s">
        <v>69</v>
      </c>
      <c r="AA35" s="6" t="s">
        <v>120</v>
      </c>
    </row>
    <row r="36" spans="1:27" s="4" customFormat="1" ht="51.95" customHeight="1">
      <c r="A36" s="5">
        <v>0</v>
      </c>
      <c r="B36" s="6" t="s">
        <v>268</v>
      </c>
      <c r="C36" s="13">
        <v>1520</v>
      </c>
      <c r="D36" s="8" t="s">
        <v>269</v>
      </c>
      <c r="E36" s="8" t="s">
        <v>270</v>
      </c>
      <c r="F36" s="8" t="s">
        <v>257</v>
      </c>
      <c r="G36" s="6" t="s">
        <v>37</v>
      </c>
      <c r="H36" s="6" t="s">
        <v>113</v>
      </c>
      <c r="I36" s="8" t="s">
        <v>75</v>
      </c>
      <c r="J36" s="9">
        <v>1</v>
      </c>
      <c r="K36" s="9">
        <v>325</v>
      </c>
      <c r="L36" s="9">
        <v>2022</v>
      </c>
      <c r="M36" s="8" t="s">
        <v>271</v>
      </c>
      <c r="N36" s="8" t="s">
        <v>40</v>
      </c>
      <c r="O36" s="8" t="s">
        <v>41</v>
      </c>
      <c r="P36" s="6" t="s">
        <v>42</v>
      </c>
      <c r="Q36" s="8" t="s">
        <v>43</v>
      </c>
      <c r="R36" s="10" t="s">
        <v>272</v>
      </c>
      <c r="S36" s="11" t="s">
        <v>273</v>
      </c>
      <c r="T36" s="6" t="s">
        <v>117</v>
      </c>
      <c r="U36" s="28" t="str">
        <f>HYPERLINK("https://media.infra-m.ru/1830/1830834/cover/1830834.jpg", "Обложка")</f>
        <v>Обложка</v>
      </c>
      <c r="V36" s="28" t="str">
        <f>HYPERLINK("https://znanium.com/catalog/product/1830834", "Ознакомиться")</f>
        <v>Ознакомиться</v>
      </c>
      <c r="W36" s="8" t="s">
        <v>261</v>
      </c>
      <c r="X36" s="6" t="s">
        <v>274</v>
      </c>
      <c r="Y36" s="6"/>
      <c r="Z36" s="6"/>
      <c r="AA36" s="6" t="s">
        <v>275</v>
      </c>
    </row>
    <row r="37" spans="1:27" s="4" customFormat="1" ht="51.95" customHeight="1">
      <c r="A37" s="5">
        <v>0</v>
      </c>
      <c r="B37" s="6" t="s">
        <v>276</v>
      </c>
      <c r="C37" s="13">
        <v>1050</v>
      </c>
      <c r="D37" s="8" t="s">
        <v>277</v>
      </c>
      <c r="E37" s="8" t="s">
        <v>278</v>
      </c>
      <c r="F37" s="8" t="s">
        <v>257</v>
      </c>
      <c r="G37" s="6" t="s">
        <v>52</v>
      </c>
      <c r="H37" s="6" t="s">
        <v>113</v>
      </c>
      <c r="I37" s="8" t="s">
        <v>75</v>
      </c>
      <c r="J37" s="9">
        <v>1</v>
      </c>
      <c r="K37" s="9">
        <v>235</v>
      </c>
      <c r="L37" s="9">
        <v>2023</v>
      </c>
      <c r="M37" s="8" t="s">
        <v>279</v>
      </c>
      <c r="N37" s="8" t="s">
        <v>40</v>
      </c>
      <c r="O37" s="8" t="s">
        <v>41</v>
      </c>
      <c r="P37" s="6" t="s">
        <v>42</v>
      </c>
      <c r="Q37" s="8" t="s">
        <v>43</v>
      </c>
      <c r="R37" s="10" t="s">
        <v>280</v>
      </c>
      <c r="S37" s="11" t="s">
        <v>281</v>
      </c>
      <c r="T37" s="6" t="s">
        <v>117</v>
      </c>
      <c r="U37" s="28" t="str">
        <f>HYPERLINK("https://media.infra-m.ru/1876/1876807/cover/1876807.jpg", "Обложка")</f>
        <v>Обложка</v>
      </c>
      <c r="V37" s="28" t="str">
        <f>HYPERLINK("https://znanium.com/catalog/product/1876807", "Ознакомиться")</f>
        <v>Ознакомиться</v>
      </c>
      <c r="W37" s="8" t="s">
        <v>261</v>
      </c>
      <c r="X37" s="6"/>
      <c r="Y37" s="6"/>
      <c r="Z37" s="6"/>
      <c r="AA37" s="6" t="s">
        <v>226</v>
      </c>
    </row>
    <row r="38" spans="1:27" s="4" customFormat="1" ht="51.95" customHeight="1">
      <c r="A38" s="5">
        <v>0</v>
      </c>
      <c r="B38" s="6" t="s">
        <v>282</v>
      </c>
      <c r="C38" s="13">
        <v>1090</v>
      </c>
      <c r="D38" s="8" t="s">
        <v>283</v>
      </c>
      <c r="E38" s="8" t="s">
        <v>278</v>
      </c>
      <c r="F38" s="8" t="s">
        <v>257</v>
      </c>
      <c r="G38" s="6" t="s">
        <v>52</v>
      </c>
      <c r="H38" s="6" t="s">
        <v>113</v>
      </c>
      <c r="I38" s="8" t="s">
        <v>64</v>
      </c>
      <c r="J38" s="9">
        <v>1</v>
      </c>
      <c r="K38" s="9">
        <v>235</v>
      </c>
      <c r="L38" s="9">
        <v>2023</v>
      </c>
      <c r="M38" s="8" t="s">
        <v>284</v>
      </c>
      <c r="N38" s="8" t="s">
        <v>40</v>
      </c>
      <c r="O38" s="8" t="s">
        <v>41</v>
      </c>
      <c r="P38" s="6" t="s">
        <v>42</v>
      </c>
      <c r="Q38" s="8" t="s">
        <v>66</v>
      </c>
      <c r="R38" s="10" t="s">
        <v>285</v>
      </c>
      <c r="S38" s="11" t="s">
        <v>286</v>
      </c>
      <c r="T38" s="6" t="s">
        <v>117</v>
      </c>
      <c r="U38" s="28" t="str">
        <f>HYPERLINK("https://media.infra-m.ru/2111/2111334/cover/2111334.jpg", "Обложка")</f>
        <v>Обложка</v>
      </c>
      <c r="V38" s="28" t="str">
        <f>HYPERLINK("https://znanium.com/catalog/product/2111334", "Ознакомиться")</f>
        <v>Ознакомиться</v>
      </c>
      <c r="W38" s="8" t="s">
        <v>261</v>
      </c>
      <c r="X38" s="6"/>
      <c r="Y38" s="6"/>
      <c r="Z38" s="6" t="s">
        <v>69</v>
      </c>
      <c r="AA38" s="6" t="s">
        <v>253</v>
      </c>
    </row>
    <row r="39" spans="1:27" s="4" customFormat="1" ht="51.95" customHeight="1">
      <c r="A39" s="5">
        <v>0</v>
      </c>
      <c r="B39" s="6" t="s">
        <v>287</v>
      </c>
      <c r="C39" s="13">
        <v>1374</v>
      </c>
      <c r="D39" s="8" t="s">
        <v>288</v>
      </c>
      <c r="E39" s="8" t="s">
        <v>289</v>
      </c>
      <c r="F39" s="8" t="s">
        <v>290</v>
      </c>
      <c r="G39" s="6" t="s">
        <v>52</v>
      </c>
      <c r="H39" s="6" t="s">
        <v>113</v>
      </c>
      <c r="I39" s="8" t="s">
        <v>64</v>
      </c>
      <c r="J39" s="9">
        <v>1</v>
      </c>
      <c r="K39" s="9">
        <v>304</v>
      </c>
      <c r="L39" s="9">
        <v>2023</v>
      </c>
      <c r="M39" s="8" t="s">
        <v>291</v>
      </c>
      <c r="N39" s="8" t="s">
        <v>40</v>
      </c>
      <c r="O39" s="8" t="s">
        <v>41</v>
      </c>
      <c r="P39" s="6" t="s">
        <v>161</v>
      </c>
      <c r="Q39" s="8" t="s">
        <v>66</v>
      </c>
      <c r="R39" s="10" t="s">
        <v>116</v>
      </c>
      <c r="S39" s="11" t="s">
        <v>292</v>
      </c>
      <c r="T39" s="6" t="s">
        <v>117</v>
      </c>
      <c r="U39" s="28" t="str">
        <f>HYPERLINK("https://media.infra-m.ru/1912/1912954/cover/1912954.jpg", "Обложка")</f>
        <v>Обложка</v>
      </c>
      <c r="V39" s="28" t="str">
        <f>HYPERLINK("https://znanium.com/catalog/product/1189322", "Ознакомиться")</f>
        <v>Ознакомиться</v>
      </c>
      <c r="W39" s="8" t="s">
        <v>189</v>
      </c>
      <c r="X39" s="6"/>
      <c r="Y39" s="6"/>
      <c r="Z39" s="6" t="s">
        <v>69</v>
      </c>
      <c r="AA39" s="6" t="s">
        <v>120</v>
      </c>
    </row>
    <row r="40" spans="1:27" s="4" customFormat="1" ht="51.95" customHeight="1">
      <c r="A40" s="5">
        <v>0</v>
      </c>
      <c r="B40" s="6" t="s">
        <v>293</v>
      </c>
      <c r="C40" s="13">
        <v>1394</v>
      </c>
      <c r="D40" s="8" t="s">
        <v>294</v>
      </c>
      <c r="E40" s="8" t="s">
        <v>289</v>
      </c>
      <c r="F40" s="8" t="s">
        <v>290</v>
      </c>
      <c r="G40" s="6" t="s">
        <v>52</v>
      </c>
      <c r="H40" s="6" t="s">
        <v>113</v>
      </c>
      <c r="I40" s="8" t="s">
        <v>75</v>
      </c>
      <c r="J40" s="9">
        <v>1</v>
      </c>
      <c r="K40" s="9">
        <v>304</v>
      </c>
      <c r="L40" s="9">
        <v>2023</v>
      </c>
      <c r="M40" s="8" t="s">
        <v>295</v>
      </c>
      <c r="N40" s="8" t="s">
        <v>40</v>
      </c>
      <c r="O40" s="8" t="s">
        <v>41</v>
      </c>
      <c r="P40" s="6" t="s">
        <v>161</v>
      </c>
      <c r="Q40" s="8" t="s">
        <v>43</v>
      </c>
      <c r="R40" s="10" t="s">
        <v>296</v>
      </c>
      <c r="S40" s="11" t="s">
        <v>297</v>
      </c>
      <c r="T40" s="6" t="s">
        <v>117</v>
      </c>
      <c r="U40" s="28" t="str">
        <f>HYPERLINK("https://media.infra-m.ru/2068/2068275/cover/2068275.jpg", "Обложка")</f>
        <v>Обложка</v>
      </c>
      <c r="V40" s="28" t="str">
        <f>HYPERLINK("https://znanium.com/catalog/product/1986697", "Ознакомиться")</f>
        <v>Ознакомиться</v>
      </c>
      <c r="W40" s="8" t="s">
        <v>189</v>
      </c>
      <c r="X40" s="6"/>
      <c r="Y40" s="6"/>
      <c r="Z40" s="6"/>
      <c r="AA40" s="6" t="s">
        <v>165</v>
      </c>
    </row>
    <row r="41" spans="1:27" s="4" customFormat="1" ht="51.95" customHeight="1">
      <c r="A41" s="5">
        <v>0</v>
      </c>
      <c r="B41" s="6" t="s">
        <v>298</v>
      </c>
      <c r="C41" s="13">
        <v>1254</v>
      </c>
      <c r="D41" s="8" t="s">
        <v>299</v>
      </c>
      <c r="E41" s="8" t="s">
        <v>289</v>
      </c>
      <c r="F41" s="8" t="s">
        <v>300</v>
      </c>
      <c r="G41" s="6" t="s">
        <v>52</v>
      </c>
      <c r="H41" s="6" t="s">
        <v>149</v>
      </c>
      <c r="I41" s="8" t="s">
        <v>75</v>
      </c>
      <c r="J41" s="9">
        <v>1</v>
      </c>
      <c r="K41" s="9">
        <v>271</v>
      </c>
      <c r="L41" s="9">
        <v>2024</v>
      </c>
      <c r="M41" s="8" t="s">
        <v>301</v>
      </c>
      <c r="N41" s="8" t="s">
        <v>40</v>
      </c>
      <c r="O41" s="8" t="s">
        <v>41</v>
      </c>
      <c r="P41" s="6" t="s">
        <v>161</v>
      </c>
      <c r="Q41" s="8" t="s">
        <v>43</v>
      </c>
      <c r="R41" s="10" t="s">
        <v>302</v>
      </c>
      <c r="S41" s="11" t="s">
        <v>303</v>
      </c>
      <c r="T41" s="6"/>
      <c r="U41" s="28" t="str">
        <f>HYPERLINK("https://media.infra-m.ru/2058/2058772/cover/2058772.jpg", "Обложка")</f>
        <v>Обложка</v>
      </c>
      <c r="V41" s="28" t="str">
        <f>HYPERLINK("https://znanium.com/catalog/product/1514118", "Ознакомиться")</f>
        <v>Ознакомиться</v>
      </c>
      <c r="W41" s="8" t="s">
        <v>304</v>
      </c>
      <c r="X41" s="6"/>
      <c r="Y41" s="6"/>
      <c r="Z41" s="6"/>
      <c r="AA41" s="6" t="s">
        <v>205</v>
      </c>
    </row>
    <row r="42" spans="1:27" s="4" customFormat="1" ht="51.95" customHeight="1">
      <c r="A42" s="5">
        <v>0</v>
      </c>
      <c r="B42" s="6" t="s">
        <v>305</v>
      </c>
      <c r="C42" s="13">
        <v>1614</v>
      </c>
      <c r="D42" s="8" t="s">
        <v>306</v>
      </c>
      <c r="E42" s="8" t="s">
        <v>307</v>
      </c>
      <c r="F42" s="8" t="s">
        <v>308</v>
      </c>
      <c r="G42" s="6" t="s">
        <v>37</v>
      </c>
      <c r="H42" s="6" t="s">
        <v>149</v>
      </c>
      <c r="I42" s="8" t="s">
        <v>54</v>
      </c>
      <c r="J42" s="9">
        <v>1</v>
      </c>
      <c r="K42" s="9">
        <v>352</v>
      </c>
      <c r="L42" s="9">
        <v>2024</v>
      </c>
      <c r="M42" s="8" t="s">
        <v>309</v>
      </c>
      <c r="N42" s="8" t="s">
        <v>40</v>
      </c>
      <c r="O42" s="8" t="s">
        <v>41</v>
      </c>
      <c r="P42" s="6" t="s">
        <v>161</v>
      </c>
      <c r="Q42" s="8" t="s">
        <v>43</v>
      </c>
      <c r="R42" s="10" t="s">
        <v>310</v>
      </c>
      <c r="S42" s="11" t="s">
        <v>311</v>
      </c>
      <c r="T42" s="6"/>
      <c r="U42" s="28" t="str">
        <f>HYPERLINK("https://media.infra-m.ru/2096/2096810/cover/2096810.jpg", "Обложка")</f>
        <v>Обложка</v>
      </c>
      <c r="V42" s="28" t="str">
        <f>HYPERLINK("https://znanium.com/catalog/product/1222075", "Ознакомиться")</f>
        <v>Ознакомиться</v>
      </c>
      <c r="W42" s="8" t="s">
        <v>304</v>
      </c>
      <c r="X42" s="6"/>
      <c r="Y42" s="6"/>
      <c r="Z42" s="6"/>
      <c r="AA42" s="6" t="s">
        <v>312</v>
      </c>
    </row>
    <row r="43" spans="1:27" s="4" customFormat="1" ht="51.95" customHeight="1">
      <c r="A43" s="5">
        <v>0</v>
      </c>
      <c r="B43" s="6" t="s">
        <v>313</v>
      </c>
      <c r="C43" s="13">
        <v>1800</v>
      </c>
      <c r="D43" s="8" t="s">
        <v>314</v>
      </c>
      <c r="E43" s="8" t="s">
        <v>315</v>
      </c>
      <c r="F43" s="8" t="s">
        <v>316</v>
      </c>
      <c r="G43" s="6" t="s">
        <v>52</v>
      </c>
      <c r="H43" s="6" t="s">
        <v>53</v>
      </c>
      <c r="I43" s="8" t="s">
        <v>64</v>
      </c>
      <c r="J43" s="9">
        <v>1</v>
      </c>
      <c r="K43" s="9">
        <v>400</v>
      </c>
      <c r="L43" s="9">
        <v>2023</v>
      </c>
      <c r="M43" s="8" t="s">
        <v>317</v>
      </c>
      <c r="N43" s="8" t="s">
        <v>40</v>
      </c>
      <c r="O43" s="8" t="s">
        <v>41</v>
      </c>
      <c r="P43" s="6" t="s">
        <v>42</v>
      </c>
      <c r="Q43" s="8" t="s">
        <v>66</v>
      </c>
      <c r="R43" s="10" t="s">
        <v>203</v>
      </c>
      <c r="S43" s="11" t="s">
        <v>318</v>
      </c>
      <c r="T43" s="6"/>
      <c r="U43" s="28" t="str">
        <f>HYPERLINK("https://media.infra-m.ru/2021/2021413/cover/2021413.jpg", "Обложка")</f>
        <v>Обложка</v>
      </c>
      <c r="V43" s="28" t="str">
        <f>HYPERLINK("https://znanium.com/catalog/product/1091314", "Ознакомиться")</f>
        <v>Ознакомиться</v>
      </c>
      <c r="W43" s="8" t="s">
        <v>189</v>
      </c>
      <c r="X43" s="6"/>
      <c r="Y43" s="6"/>
      <c r="Z43" s="6" t="s">
        <v>69</v>
      </c>
      <c r="AA43" s="6" t="s">
        <v>319</v>
      </c>
    </row>
    <row r="44" spans="1:27" s="4" customFormat="1" ht="51.95" customHeight="1">
      <c r="A44" s="5">
        <v>0</v>
      </c>
      <c r="B44" s="6" t="s">
        <v>320</v>
      </c>
      <c r="C44" s="13">
        <v>1810</v>
      </c>
      <c r="D44" s="8" t="s">
        <v>321</v>
      </c>
      <c r="E44" s="8" t="s">
        <v>315</v>
      </c>
      <c r="F44" s="8" t="s">
        <v>316</v>
      </c>
      <c r="G44" s="6" t="s">
        <v>52</v>
      </c>
      <c r="H44" s="6" t="s">
        <v>53</v>
      </c>
      <c r="I44" s="8" t="s">
        <v>75</v>
      </c>
      <c r="J44" s="9">
        <v>1</v>
      </c>
      <c r="K44" s="9">
        <v>400</v>
      </c>
      <c r="L44" s="9">
        <v>2023</v>
      </c>
      <c r="M44" s="8" t="s">
        <v>322</v>
      </c>
      <c r="N44" s="8" t="s">
        <v>40</v>
      </c>
      <c r="O44" s="8" t="s">
        <v>41</v>
      </c>
      <c r="P44" s="6" t="s">
        <v>42</v>
      </c>
      <c r="Q44" s="8" t="s">
        <v>43</v>
      </c>
      <c r="R44" s="10" t="s">
        <v>323</v>
      </c>
      <c r="S44" s="11" t="s">
        <v>324</v>
      </c>
      <c r="T44" s="6"/>
      <c r="U44" s="28" t="str">
        <f>HYPERLINK("https://media.infra-m.ru/1937/1937956/cover/1937956.jpg", "Обложка")</f>
        <v>Обложка</v>
      </c>
      <c r="V44" s="28" t="str">
        <f>HYPERLINK("https://znanium.com/catalog/product/1937956", "Ознакомиться")</f>
        <v>Ознакомиться</v>
      </c>
      <c r="W44" s="8" t="s">
        <v>189</v>
      </c>
      <c r="X44" s="6"/>
      <c r="Y44" s="6"/>
      <c r="Z44" s="6"/>
      <c r="AA44" s="6" t="s">
        <v>325</v>
      </c>
    </row>
    <row r="45" spans="1:27" s="4" customFormat="1" ht="51.95" customHeight="1">
      <c r="A45" s="5">
        <v>0</v>
      </c>
      <c r="B45" s="6" t="s">
        <v>326</v>
      </c>
      <c r="C45" s="13">
        <v>1394.9</v>
      </c>
      <c r="D45" s="8" t="s">
        <v>327</v>
      </c>
      <c r="E45" s="8" t="s">
        <v>328</v>
      </c>
      <c r="F45" s="8" t="s">
        <v>329</v>
      </c>
      <c r="G45" s="6" t="s">
        <v>52</v>
      </c>
      <c r="H45" s="6" t="s">
        <v>53</v>
      </c>
      <c r="I45" s="8" t="s">
        <v>64</v>
      </c>
      <c r="J45" s="9">
        <v>1</v>
      </c>
      <c r="K45" s="9">
        <v>368</v>
      </c>
      <c r="L45" s="9">
        <v>2022</v>
      </c>
      <c r="M45" s="8" t="s">
        <v>330</v>
      </c>
      <c r="N45" s="8" t="s">
        <v>40</v>
      </c>
      <c r="O45" s="8" t="s">
        <v>41</v>
      </c>
      <c r="P45" s="6" t="s">
        <v>42</v>
      </c>
      <c r="Q45" s="8" t="s">
        <v>66</v>
      </c>
      <c r="R45" s="10" t="s">
        <v>241</v>
      </c>
      <c r="S45" s="11" t="s">
        <v>331</v>
      </c>
      <c r="T45" s="6"/>
      <c r="U45" s="28" t="str">
        <f>HYPERLINK("https://media.infra-m.ru/1836/1836631/cover/1836631.jpg", "Обложка")</f>
        <v>Обложка</v>
      </c>
      <c r="V45" s="28" t="str">
        <f>HYPERLINK("https://znanium.com/catalog/product/1836631", "Ознакомиться")</f>
        <v>Ознакомиться</v>
      </c>
      <c r="W45" s="8" t="s">
        <v>332</v>
      </c>
      <c r="X45" s="6"/>
      <c r="Y45" s="6"/>
      <c r="Z45" s="6"/>
      <c r="AA45" s="6" t="s">
        <v>333</v>
      </c>
    </row>
    <row r="46" spans="1:27" s="4" customFormat="1" ht="51.95" customHeight="1">
      <c r="A46" s="5">
        <v>0</v>
      </c>
      <c r="B46" s="6" t="s">
        <v>334</v>
      </c>
      <c r="C46" s="13">
        <v>1610</v>
      </c>
      <c r="D46" s="8" t="s">
        <v>335</v>
      </c>
      <c r="E46" s="8" t="s">
        <v>336</v>
      </c>
      <c r="F46" s="8" t="s">
        <v>337</v>
      </c>
      <c r="G46" s="6" t="s">
        <v>52</v>
      </c>
      <c r="H46" s="6" t="s">
        <v>38</v>
      </c>
      <c r="I46" s="8"/>
      <c r="J46" s="9">
        <v>1</v>
      </c>
      <c r="K46" s="9">
        <v>350</v>
      </c>
      <c r="L46" s="9">
        <v>2023</v>
      </c>
      <c r="M46" s="8" t="s">
        <v>338</v>
      </c>
      <c r="N46" s="8" t="s">
        <v>40</v>
      </c>
      <c r="O46" s="8" t="s">
        <v>41</v>
      </c>
      <c r="P46" s="6" t="s">
        <v>42</v>
      </c>
      <c r="Q46" s="8" t="s">
        <v>43</v>
      </c>
      <c r="R46" s="10" t="s">
        <v>339</v>
      </c>
      <c r="S46" s="11" t="s">
        <v>340</v>
      </c>
      <c r="T46" s="6" t="s">
        <v>117</v>
      </c>
      <c r="U46" s="28" t="str">
        <f>HYPERLINK("https://media.infra-m.ru/1893/1893969/cover/1893969.jpg", "Обложка")</f>
        <v>Обложка</v>
      </c>
      <c r="V46" s="28" t="str">
        <f>HYPERLINK("https://znanium.com/catalog/product/1893969", "Ознакомиться")</f>
        <v>Ознакомиться</v>
      </c>
      <c r="W46" s="8" t="s">
        <v>46</v>
      </c>
      <c r="X46" s="6"/>
      <c r="Y46" s="6"/>
      <c r="Z46" s="6"/>
      <c r="AA46" s="6" t="s">
        <v>341</v>
      </c>
    </row>
    <row r="47" spans="1:27" s="4" customFormat="1" ht="51.95" customHeight="1">
      <c r="A47" s="5">
        <v>0</v>
      </c>
      <c r="B47" s="6" t="s">
        <v>342</v>
      </c>
      <c r="C47" s="7">
        <v>989.9</v>
      </c>
      <c r="D47" s="8" t="s">
        <v>343</v>
      </c>
      <c r="E47" s="8" t="s">
        <v>344</v>
      </c>
      <c r="F47" s="8" t="s">
        <v>337</v>
      </c>
      <c r="G47" s="6" t="s">
        <v>37</v>
      </c>
      <c r="H47" s="6" t="s">
        <v>38</v>
      </c>
      <c r="I47" s="8" t="s">
        <v>345</v>
      </c>
      <c r="J47" s="9">
        <v>20</v>
      </c>
      <c r="K47" s="9">
        <v>336</v>
      </c>
      <c r="L47" s="9">
        <v>2017</v>
      </c>
      <c r="M47" s="8" t="s">
        <v>346</v>
      </c>
      <c r="N47" s="8" t="s">
        <v>40</v>
      </c>
      <c r="O47" s="8" t="s">
        <v>41</v>
      </c>
      <c r="P47" s="6" t="s">
        <v>42</v>
      </c>
      <c r="Q47" s="8" t="s">
        <v>43</v>
      </c>
      <c r="R47" s="10" t="s">
        <v>339</v>
      </c>
      <c r="S47" s="11" t="s">
        <v>347</v>
      </c>
      <c r="T47" s="6" t="s">
        <v>117</v>
      </c>
      <c r="U47" s="28" t="str">
        <f>HYPERLINK("https://media.infra-m.ru/0636/0636239/cover/636239.jpg", "Обложка")</f>
        <v>Обложка</v>
      </c>
      <c r="V47" s="28" t="str">
        <f>HYPERLINK("https://znanium.com/catalog/product/1893969", "Ознакомиться")</f>
        <v>Ознакомиться</v>
      </c>
      <c r="W47" s="8" t="s">
        <v>46</v>
      </c>
      <c r="X47" s="6"/>
      <c r="Y47" s="6"/>
      <c r="Z47" s="6"/>
      <c r="AA47" s="6" t="s">
        <v>348</v>
      </c>
    </row>
    <row r="48" spans="1:27" s="4" customFormat="1" ht="51.95" customHeight="1">
      <c r="A48" s="5">
        <v>0</v>
      </c>
      <c r="B48" s="6" t="s">
        <v>349</v>
      </c>
      <c r="C48" s="13">
        <v>1650</v>
      </c>
      <c r="D48" s="8" t="s">
        <v>350</v>
      </c>
      <c r="E48" s="8" t="s">
        <v>351</v>
      </c>
      <c r="F48" s="8" t="s">
        <v>352</v>
      </c>
      <c r="G48" s="6" t="s">
        <v>52</v>
      </c>
      <c r="H48" s="6" t="s">
        <v>113</v>
      </c>
      <c r="I48" s="8" t="s">
        <v>75</v>
      </c>
      <c r="J48" s="9">
        <v>1</v>
      </c>
      <c r="K48" s="9">
        <v>382</v>
      </c>
      <c r="L48" s="9">
        <v>2022</v>
      </c>
      <c r="M48" s="8" t="s">
        <v>353</v>
      </c>
      <c r="N48" s="8" t="s">
        <v>40</v>
      </c>
      <c r="O48" s="8" t="s">
        <v>41</v>
      </c>
      <c r="P48" s="6" t="s">
        <v>42</v>
      </c>
      <c r="Q48" s="8" t="s">
        <v>43</v>
      </c>
      <c r="R48" s="10" t="s">
        <v>354</v>
      </c>
      <c r="S48" s="11" t="s">
        <v>355</v>
      </c>
      <c r="T48" s="6" t="s">
        <v>117</v>
      </c>
      <c r="U48" s="28" t="str">
        <f>HYPERLINK("https://media.infra-m.ru/1248/1248243/cover/1248243.jpg", "Обложка")</f>
        <v>Обложка</v>
      </c>
      <c r="V48" s="28" t="str">
        <f>HYPERLINK("https://znanium.com/catalog/product/1248243", "Ознакомиться")</f>
        <v>Ознакомиться</v>
      </c>
      <c r="W48" s="8" t="s">
        <v>46</v>
      </c>
      <c r="X48" s="6"/>
      <c r="Y48" s="6"/>
      <c r="Z48" s="6"/>
      <c r="AA48" s="6" t="s">
        <v>356</v>
      </c>
    </row>
    <row r="49" spans="1:27" s="4" customFormat="1" ht="51.95" customHeight="1">
      <c r="A49" s="5">
        <v>0</v>
      </c>
      <c r="B49" s="6" t="s">
        <v>357</v>
      </c>
      <c r="C49" s="13">
        <v>1120</v>
      </c>
      <c r="D49" s="8" t="s">
        <v>358</v>
      </c>
      <c r="E49" s="8" t="s">
        <v>359</v>
      </c>
      <c r="F49" s="8" t="s">
        <v>360</v>
      </c>
      <c r="G49" s="6" t="s">
        <v>52</v>
      </c>
      <c r="H49" s="6" t="s">
        <v>113</v>
      </c>
      <c r="I49" s="8" t="s">
        <v>75</v>
      </c>
      <c r="J49" s="9">
        <v>1</v>
      </c>
      <c r="K49" s="9">
        <v>352</v>
      </c>
      <c r="L49" s="9">
        <v>2019</v>
      </c>
      <c r="M49" s="8" t="s">
        <v>361</v>
      </c>
      <c r="N49" s="8" t="s">
        <v>40</v>
      </c>
      <c r="O49" s="8" t="s">
        <v>41</v>
      </c>
      <c r="P49" s="6" t="s">
        <v>42</v>
      </c>
      <c r="Q49" s="8" t="s">
        <v>43</v>
      </c>
      <c r="R49" s="10" t="s">
        <v>354</v>
      </c>
      <c r="S49" s="11" t="s">
        <v>362</v>
      </c>
      <c r="T49" s="6" t="s">
        <v>117</v>
      </c>
      <c r="U49" s="28" t="str">
        <f>HYPERLINK("https://media.infra-m.ru/1002/1002364/cover/1002364.jpg", "Обложка")</f>
        <v>Обложка</v>
      </c>
      <c r="V49" s="28" t="str">
        <f>HYPERLINK("https://znanium.com/catalog/product/1248243", "Ознакомиться")</f>
        <v>Ознакомиться</v>
      </c>
      <c r="W49" s="8" t="s">
        <v>46</v>
      </c>
      <c r="X49" s="6"/>
      <c r="Y49" s="6"/>
      <c r="Z49" s="6"/>
      <c r="AA49" s="6" t="s">
        <v>363</v>
      </c>
    </row>
    <row r="50" spans="1:27" s="4" customFormat="1" ht="51.95" customHeight="1">
      <c r="A50" s="5">
        <v>0</v>
      </c>
      <c r="B50" s="6" t="s">
        <v>364</v>
      </c>
      <c r="C50" s="13">
        <v>1320</v>
      </c>
      <c r="D50" s="8" t="s">
        <v>365</v>
      </c>
      <c r="E50" s="8" t="s">
        <v>366</v>
      </c>
      <c r="F50" s="8" t="s">
        <v>367</v>
      </c>
      <c r="G50" s="6" t="s">
        <v>52</v>
      </c>
      <c r="H50" s="6" t="s">
        <v>113</v>
      </c>
      <c r="I50" s="8" t="s">
        <v>368</v>
      </c>
      <c r="J50" s="9">
        <v>1</v>
      </c>
      <c r="K50" s="9">
        <v>287</v>
      </c>
      <c r="L50" s="9">
        <v>2024</v>
      </c>
      <c r="M50" s="8" t="s">
        <v>369</v>
      </c>
      <c r="N50" s="8" t="s">
        <v>40</v>
      </c>
      <c r="O50" s="8" t="s">
        <v>41</v>
      </c>
      <c r="P50" s="6" t="s">
        <v>42</v>
      </c>
      <c r="Q50" s="8" t="s">
        <v>43</v>
      </c>
      <c r="R50" s="10" t="s">
        <v>370</v>
      </c>
      <c r="S50" s="11" t="s">
        <v>371</v>
      </c>
      <c r="T50" s="6"/>
      <c r="U50" s="28" t="str">
        <f>HYPERLINK("https://media.infra-m.ru/2122/2122963/cover/2122963.jpg", "Обложка")</f>
        <v>Обложка</v>
      </c>
      <c r="V50" s="28" t="str">
        <f>HYPERLINK("https://znanium.com/catalog/product/2122963", "Ознакомиться")</f>
        <v>Ознакомиться</v>
      </c>
      <c r="W50" s="8" t="s">
        <v>46</v>
      </c>
      <c r="X50" s="6"/>
      <c r="Y50" s="6"/>
      <c r="Z50" s="6"/>
      <c r="AA50" s="6" t="s">
        <v>372</v>
      </c>
    </row>
    <row r="51" spans="1:27" s="4" customFormat="1" ht="42" customHeight="1">
      <c r="A51" s="5">
        <v>0</v>
      </c>
      <c r="B51" s="6" t="s">
        <v>373</v>
      </c>
      <c r="C51" s="13">
        <v>1062</v>
      </c>
      <c r="D51" s="8" t="s">
        <v>374</v>
      </c>
      <c r="E51" s="8" t="s">
        <v>375</v>
      </c>
      <c r="F51" s="8" t="s">
        <v>376</v>
      </c>
      <c r="G51" s="6" t="s">
        <v>37</v>
      </c>
      <c r="H51" s="6" t="s">
        <v>113</v>
      </c>
      <c r="I51" s="8" t="s">
        <v>377</v>
      </c>
      <c r="J51" s="9">
        <v>1</v>
      </c>
      <c r="K51" s="9">
        <v>177</v>
      </c>
      <c r="L51" s="9">
        <v>2024</v>
      </c>
      <c r="M51" s="8" t="s">
        <v>378</v>
      </c>
      <c r="N51" s="8" t="s">
        <v>40</v>
      </c>
      <c r="O51" s="8" t="s">
        <v>41</v>
      </c>
      <c r="P51" s="6" t="s">
        <v>42</v>
      </c>
      <c r="Q51" s="8" t="s">
        <v>379</v>
      </c>
      <c r="R51" s="10" t="s">
        <v>380</v>
      </c>
      <c r="S51" s="11"/>
      <c r="T51" s="6"/>
      <c r="U51" s="28" t="str">
        <f>HYPERLINK("https://media.infra-m.ru/2082/2082643/cover/2082643.jpg", "Обложка")</f>
        <v>Обложка</v>
      </c>
      <c r="V51" s="28" t="str">
        <f>HYPERLINK("https://znanium.com/catalog/product/2082643", "Ознакомиться")</f>
        <v>Ознакомиться</v>
      </c>
      <c r="W51" s="8" t="s">
        <v>46</v>
      </c>
      <c r="X51" s="6" t="s">
        <v>381</v>
      </c>
      <c r="Y51" s="6"/>
      <c r="Z51" s="6"/>
      <c r="AA51" s="6" t="s">
        <v>173</v>
      </c>
    </row>
    <row r="52" spans="1:27" s="4" customFormat="1" ht="51.95" customHeight="1">
      <c r="A52" s="5">
        <v>0</v>
      </c>
      <c r="B52" s="6" t="s">
        <v>382</v>
      </c>
      <c r="C52" s="13">
        <v>1470</v>
      </c>
      <c r="D52" s="8" t="s">
        <v>383</v>
      </c>
      <c r="E52" s="8" t="s">
        <v>384</v>
      </c>
      <c r="F52" s="8" t="s">
        <v>385</v>
      </c>
      <c r="G52" s="6" t="s">
        <v>52</v>
      </c>
      <c r="H52" s="6" t="s">
        <v>149</v>
      </c>
      <c r="I52" s="8" t="s">
        <v>64</v>
      </c>
      <c r="J52" s="9">
        <v>1</v>
      </c>
      <c r="K52" s="9">
        <v>320</v>
      </c>
      <c r="L52" s="9">
        <v>2023</v>
      </c>
      <c r="M52" s="8" t="s">
        <v>386</v>
      </c>
      <c r="N52" s="8" t="s">
        <v>40</v>
      </c>
      <c r="O52" s="8" t="s">
        <v>41</v>
      </c>
      <c r="P52" s="6" t="s">
        <v>42</v>
      </c>
      <c r="Q52" s="8" t="s">
        <v>66</v>
      </c>
      <c r="R52" s="10" t="s">
        <v>387</v>
      </c>
      <c r="S52" s="11" t="s">
        <v>286</v>
      </c>
      <c r="T52" s="6"/>
      <c r="U52" s="28" t="str">
        <f>HYPERLINK("https://media.infra-m.ru/1891/1891187/cover/1891187.jpg", "Обложка")</f>
        <v>Обложка</v>
      </c>
      <c r="V52" s="28" t="str">
        <f>HYPERLINK("https://znanium.com/catalog/product/1891187", "Ознакомиться")</f>
        <v>Ознакомиться</v>
      </c>
      <c r="W52" s="8" t="s">
        <v>204</v>
      </c>
      <c r="X52" s="6"/>
      <c r="Y52" s="6"/>
      <c r="Z52" s="6" t="s">
        <v>69</v>
      </c>
      <c r="AA52" s="6" t="s">
        <v>253</v>
      </c>
    </row>
    <row r="53" spans="1:27" s="4" customFormat="1" ht="51.95" customHeight="1">
      <c r="A53" s="5">
        <v>0</v>
      </c>
      <c r="B53" s="6" t="s">
        <v>388</v>
      </c>
      <c r="C53" s="13">
        <v>1084.9000000000001</v>
      </c>
      <c r="D53" s="8" t="s">
        <v>389</v>
      </c>
      <c r="E53" s="8" t="s">
        <v>384</v>
      </c>
      <c r="F53" s="8" t="s">
        <v>385</v>
      </c>
      <c r="G53" s="6" t="s">
        <v>37</v>
      </c>
      <c r="H53" s="6" t="s">
        <v>149</v>
      </c>
      <c r="I53" s="8" t="s">
        <v>54</v>
      </c>
      <c r="J53" s="9">
        <v>1</v>
      </c>
      <c r="K53" s="9">
        <v>320</v>
      </c>
      <c r="L53" s="9">
        <v>2020</v>
      </c>
      <c r="M53" s="8" t="s">
        <v>390</v>
      </c>
      <c r="N53" s="8" t="s">
        <v>40</v>
      </c>
      <c r="O53" s="8" t="s">
        <v>41</v>
      </c>
      <c r="P53" s="6" t="s">
        <v>42</v>
      </c>
      <c r="Q53" s="8" t="s">
        <v>43</v>
      </c>
      <c r="R53" s="10" t="s">
        <v>391</v>
      </c>
      <c r="S53" s="11" t="s">
        <v>392</v>
      </c>
      <c r="T53" s="6"/>
      <c r="U53" s="28" t="str">
        <f>HYPERLINK("https://media.infra-m.ru/1046/1046281/cover/1046281.jpg", "Обложка")</f>
        <v>Обложка</v>
      </c>
      <c r="V53" s="28" t="str">
        <f>HYPERLINK("https://znanium.com/catalog/product/1046281", "Ознакомиться")</f>
        <v>Ознакомиться</v>
      </c>
      <c r="W53" s="8" t="s">
        <v>204</v>
      </c>
      <c r="X53" s="6"/>
      <c r="Y53" s="6"/>
      <c r="Z53" s="6"/>
      <c r="AA53" s="6" t="s">
        <v>165</v>
      </c>
    </row>
    <row r="54" spans="1:27" s="4" customFormat="1" ht="51.95" customHeight="1">
      <c r="A54" s="5">
        <v>0</v>
      </c>
      <c r="B54" s="6" t="s">
        <v>393</v>
      </c>
      <c r="C54" s="13">
        <v>1560</v>
      </c>
      <c r="D54" s="8" t="s">
        <v>394</v>
      </c>
      <c r="E54" s="8" t="s">
        <v>395</v>
      </c>
      <c r="F54" s="8" t="s">
        <v>396</v>
      </c>
      <c r="G54" s="6" t="s">
        <v>52</v>
      </c>
      <c r="H54" s="6" t="s">
        <v>113</v>
      </c>
      <c r="I54" s="8" t="s">
        <v>54</v>
      </c>
      <c r="J54" s="9">
        <v>1</v>
      </c>
      <c r="K54" s="9">
        <v>339</v>
      </c>
      <c r="L54" s="9">
        <v>2024</v>
      </c>
      <c r="M54" s="8" t="s">
        <v>397</v>
      </c>
      <c r="N54" s="8" t="s">
        <v>40</v>
      </c>
      <c r="O54" s="8" t="s">
        <v>41</v>
      </c>
      <c r="P54" s="6" t="s">
        <v>42</v>
      </c>
      <c r="Q54" s="8" t="s">
        <v>43</v>
      </c>
      <c r="R54" s="10" t="s">
        <v>398</v>
      </c>
      <c r="S54" s="11" t="s">
        <v>399</v>
      </c>
      <c r="T54" s="6"/>
      <c r="U54" s="28" t="str">
        <f>HYPERLINK("https://media.infra-m.ru/2107/2107311/cover/2107311.jpg", "Обложка")</f>
        <v>Обложка</v>
      </c>
      <c r="V54" s="28" t="str">
        <f>HYPERLINK("https://znanium.com/catalog/product/2107311", "Ознакомиться")</f>
        <v>Ознакомиться</v>
      </c>
      <c r="W54" s="8" t="s">
        <v>204</v>
      </c>
      <c r="X54" s="6"/>
      <c r="Y54" s="6"/>
      <c r="Z54" s="6"/>
      <c r="AA54" s="6" t="s">
        <v>59</v>
      </c>
    </row>
    <row r="55" spans="1:27" s="4" customFormat="1" ht="51.95" customHeight="1">
      <c r="A55" s="5">
        <v>0</v>
      </c>
      <c r="B55" s="6" t="s">
        <v>400</v>
      </c>
      <c r="C55" s="13">
        <v>1214.9000000000001</v>
      </c>
      <c r="D55" s="8" t="s">
        <v>401</v>
      </c>
      <c r="E55" s="8" t="s">
        <v>402</v>
      </c>
      <c r="F55" s="8" t="s">
        <v>403</v>
      </c>
      <c r="G55" s="6" t="s">
        <v>52</v>
      </c>
      <c r="H55" s="6" t="s">
        <v>149</v>
      </c>
      <c r="I55" s="8" t="s">
        <v>75</v>
      </c>
      <c r="J55" s="9">
        <v>1</v>
      </c>
      <c r="K55" s="9">
        <v>336</v>
      </c>
      <c r="L55" s="9">
        <v>2021</v>
      </c>
      <c r="M55" s="8" t="s">
        <v>404</v>
      </c>
      <c r="N55" s="8" t="s">
        <v>40</v>
      </c>
      <c r="O55" s="8" t="s">
        <v>41</v>
      </c>
      <c r="P55" s="6" t="s">
        <v>42</v>
      </c>
      <c r="Q55" s="8" t="s">
        <v>43</v>
      </c>
      <c r="R55" s="10" t="s">
        <v>398</v>
      </c>
      <c r="S55" s="11" t="s">
        <v>405</v>
      </c>
      <c r="T55" s="6"/>
      <c r="U55" s="28" t="str">
        <f>HYPERLINK("https://media.infra-m.ru/1230/1230216/cover/1230216.jpg", "Обложка")</f>
        <v>Обложка</v>
      </c>
      <c r="V55" s="28" t="str">
        <f>HYPERLINK("https://znanium.com/catalog/product/2107311", "Ознакомиться")</f>
        <v>Ознакомиться</v>
      </c>
      <c r="W55" s="8" t="s">
        <v>204</v>
      </c>
      <c r="X55" s="6"/>
      <c r="Y55" s="6"/>
      <c r="Z55" s="6"/>
      <c r="AA55" s="6" t="s">
        <v>108</v>
      </c>
    </row>
    <row r="56" spans="1:27" s="4" customFormat="1" ht="51.95" customHeight="1">
      <c r="A56" s="5">
        <v>0</v>
      </c>
      <c r="B56" s="6" t="s">
        <v>406</v>
      </c>
      <c r="C56" s="13">
        <v>1080</v>
      </c>
      <c r="D56" s="8" t="s">
        <v>407</v>
      </c>
      <c r="E56" s="8" t="s">
        <v>408</v>
      </c>
      <c r="F56" s="8" t="s">
        <v>409</v>
      </c>
      <c r="G56" s="6" t="s">
        <v>52</v>
      </c>
      <c r="H56" s="6" t="s">
        <v>53</v>
      </c>
      <c r="I56" s="8" t="s">
        <v>75</v>
      </c>
      <c r="J56" s="9">
        <v>1</v>
      </c>
      <c r="K56" s="9">
        <v>240</v>
      </c>
      <c r="L56" s="9">
        <v>2023</v>
      </c>
      <c r="M56" s="8" t="s">
        <v>410</v>
      </c>
      <c r="N56" s="8" t="s">
        <v>40</v>
      </c>
      <c r="O56" s="8" t="s">
        <v>41</v>
      </c>
      <c r="P56" s="6" t="s">
        <v>411</v>
      </c>
      <c r="Q56" s="8" t="s">
        <v>43</v>
      </c>
      <c r="R56" s="10" t="s">
        <v>412</v>
      </c>
      <c r="S56" s="11" t="s">
        <v>413</v>
      </c>
      <c r="T56" s="6"/>
      <c r="U56" s="28" t="str">
        <f>HYPERLINK("https://media.infra-m.ru/1937/1937958/cover/1937958.jpg", "Обложка")</f>
        <v>Обложка</v>
      </c>
      <c r="V56" s="28" t="str">
        <f>HYPERLINK("https://znanium.com/catalog/product/1937958", "Ознакомиться")</f>
        <v>Ознакомиться</v>
      </c>
      <c r="W56" s="8" t="s">
        <v>414</v>
      </c>
      <c r="X56" s="6"/>
      <c r="Y56" s="6"/>
      <c r="Z56" s="6"/>
      <c r="AA56" s="6" t="s">
        <v>415</v>
      </c>
    </row>
    <row r="57" spans="1:27" s="4" customFormat="1" ht="51.95" customHeight="1">
      <c r="A57" s="5">
        <v>0</v>
      </c>
      <c r="B57" s="6" t="s">
        <v>416</v>
      </c>
      <c r="C57" s="7">
        <v>914.9</v>
      </c>
      <c r="D57" s="8" t="s">
        <v>417</v>
      </c>
      <c r="E57" s="8" t="s">
        <v>418</v>
      </c>
      <c r="F57" s="8" t="s">
        <v>419</v>
      </c>
      <c r="G57" s="6" t="s">
        <v>37</v>
      </c>
      <c r="H57" s="6" t="s">
        <v>149</v>
      </c>
      <c r="I57" s="8" t="s">
        <v>54</v>
      </c>
      <c r="J57" s="9">
        <v>1</v>
      </c>
      <c r="K57" s="9">
        <v>240</v>
      </c>
      <c r="L57" s="9">
        <v>2022</v>
      </c>
      <c r="M57" s="8" t="s">
        <v>420</v>
      </c>
      <c r="N57" s="8" t="s">
        <v>40</v>
      </c>
      <c r="O57" s="8" t="s">
        <v>41</v>
      </c>
      <c r="P57" s="6" t="s">
        <v>42</v>
      </c>
      <c r="Q57" s="8" t="s">
        <v>43</v>
      </c>
      <c r="R57" s="10" t="s">
        <v>421</v>
      </c>
      <c r="S57" s="11" t="s">
        <v>422</v>
      </c>
      <c r="T57" s="6"/>
      <c r="U57" s="28" t="str">
        <f>HYPERLINK("https://media.infra-m.ru/1841/1841773/cover/1841773.jpg", "Обложка")</f>
        <v>Обложка</v>
      </c>
      <c r="V57" s="28" t="str">
        <f>HYPERLINK("https://znanium.com/catalog/product/1841773", "Ознакомиться")</f>
        <v>Ознакомиться</v>
      </c>
      <c r="W57" s="8" t="s">
        <v>204</v>
      </c>
      <c r="X57" s="6"/>
      <c r="Y57" s="6"/>
      <c r="Z57" s="6"/>
      <c r="AA57" s="6" t="s">
        <v>89</v>
      </c>
    </row>
    <row r="58" spans="1:27" s="4" customFormat="1" ht="51.95" customHeight="1">
      <c r="A58" s="5">
        <v>0</v>
      </c>
      <c r="B58" s="6" t="s">
        <v>423</v>
      </c>
      <c r="C58" s="13">
        <v>1434</v>
      </c>
      <c r="D58" s="8" t="s">
        <v>424</v>
      </c>
      <c r="E58" s="8" t="s">
        <v>425</v>
      </c>
      <c r="F58" s="8" t="s">
        <v>426</v>
      </c>
      <c r="G58" s="6" t="s">
        <v>52</v>
      </c>
      <c r="H58" s="6" t="s">
        <v>113</v>
      </c>
      <c r="I58" s="8" t="s">
        <v>75</v>
      </c>
      <c r="J58" s="9">
        <v>1</v>
      </c>
      <c r="K58" s="9">
        <v>317</v>
      </c>
      <c r="L58" s="9">
        <v>2023</v>
      </c>
      <c r="M58" s="8" t="s">
        <v>427</v>
      </c>
      <c r="N58" s="8" t="s">
        <v>40</v>
      </c>
      <c r="O58" s="8" t="s">
        <v>41</v>
      </c>
      <c r="P58" s="6" t="s">
        <v>42</v>
      </c>
      <c r="Q58" s="8" t="s">
        <v>43</v>
      </c>
      <c r="R58" s="10" t="s">
        <v>428</v>
      </c>
      <c r="S58" s="11" t="s">
        <v>429</v>
      </c>
      <c r="T58" s="6"/>
      <c r="U58" s="28" t="str">
        <f>HYPERLINK("https://media.infra-m.ru/1927/1927303/cover/1927303.jpg", "Обложка")</f>
        <v>Обложка</v>
      </c>
      <c r="V58" s="28" t="str">
        <f>HYPERLINK("https://znanium.com/catalog/product/949045", "Ознакомиться")</f>
        <v>Ознакомиться</v>
      </c>
      <c r="W58" s="8" t="s">
        <v>430</v>
      </c>
      <c r="X58" s="6"/>
      <c r="Y58" s="6"/>
      <c r="Z58" s="6"/>
      <c r="AA58" s="6" t="s">
        <v>253</v>
      </c>
    </row>
    <row r="59" spans="1:27" s="4" customFormat="1" ht="51.95" customHeight="1">
      <c r="A59" s="5">
        <v>0</v>
      </c>
      <c r="B59" s="6" t="s">
        <v>431</v>
      </c>
      <c r="C59" s="13">
        <v>1460</v>
      </c>
      <c r="D59" s="8" t="s">
        <v>432</v>
      </c>
      <c r="E59" s="8" t="s">
        <v>425</v>
      </c>
      <c r="F59" s="8" t="s">
        <v>426</v>
      </c>
      <c r="G59" s="6" t="s">
        <v>52</v>
      </c>
      <c r="H59" s="6" t="s">
        <v>113</v>
      </c>
      <c r="I59" s="8" t="s">
        <v>64</v>
      </c>
      <c r="J59" s="9">
        <v>1</v>
      </c>
      <c r="K59" s="9">
        <v>317</v>
      </c>
      <c r="L59" s="9">
        <v>2024</v>
      </c>
      <c r="M59" s="8" t="s">
        <v>433</v>
      </c>
      <c r="N59" s="8" t="s">
        <v>40</v>
      </c>
      <c r="O59" s="8" t="s">
        <v>41</v>
      </c>
      <c r="P59" s="6" t="s">
        <v>42</v>
      </c>
      <c r="Q59" s="8" t="s">
        <v>66</v>
      </c>
      <c r="R59" s="10" t="s">
        <v>95</v>
      </c>
      <c r="S59" s="11" t="s">
        <v>434</v>
      </c>
      <c r="T59" s="6"/>
      <c r="U59" s="28" t="str">
        <f>HYPERLINK("https://media.infra-m.ru/1912/1912983/cover/1912983.jpg", "Обложка")</f>
        <v>Обложка</v>
      </c>
      <c r="V59" s="28" t="str">
        <f>HYPERLINK("https://znanium.com/catalog/product/1912983", "Ознакомиться")</f>
        <v>Ознакомиться</v>
      </c>
      <c r="W59" s="8" t="s">
        <v>430</v>
      </c>
      <c r="X59" s="6"/>
      <c r="Y59" s="6"/>
      <c r="Z59" s="6" t="s">
        <v>69</v>
      </c>
      <c r="AA59" s="6" t="s">
        <v>245</v>
      </c>
    </row>
    <row r="60" spans="1:27" s="4" customFormat="1" ht="51.95" customHeight="1">
      <c r="A60" s="5">
        <v>0</v>
      </c>
      <c r="B60" s="6" t="s">
        <v>435</v>
      </c>
      <c r="C60" s="13">
        <v>1860</v>
      </c>
      <c r="D60" s="8" t="s">
        <v>436</v>
      </c>
      <c r="E60" s="8" t="s">
        <v>437</v>
      </c>
      <c r="F60" s="8" t="s">
        <v>426</v>
      </c>
      <c r="G60" s="6" t="s">
        <v>52</v>
      </c>
      <c r="H60" s="6" t="s">
        <v>53</v>
      </c>
      <c r="I60" s="8" t="s">
        <v>64</v>
      </c>
      <c r="J60" s="14">
        <v>0</v>
      </c>
      <c r="K60" s="9">
        <v>447</v>
      </c>
      <c r="L60" s="9">
        <v>2019</v>
      </c>
      <c r="M60" s="8" t="s">
        <v>438</v>
      </c>
      <c r="N60" s="8" t="s">
        <v>40</v>
      </c>
      <c r="O60" s="8" t="s">
        <v>41</v>
      </c>
      <c r="P60" s="6" t="s">
        <v>42</v>
      </c>
      <c r="Q60" s="8" t="s">
        <v>66</v>
      </c>
      <c r="R60" s="10" t="s">
        <v>439</v>
      </c>
      <c r="S60" s="11" t="s">
        <v>440</v>
      </c>
      <c r="T60" s="6"/>
      <c r="U60" s="28" t="str">
        <f>HYPERLINK("https://media.infra-m.ru/1012/1012397/cover/1012397.jpg", "Обложка")</f>
        <v>Обложка</v>
      </c>
      <c r="V60" s="28" t="str">
        <f>HYPERLINK("https://znanium.com/catalog/product/1012397", "Ознакомиться")</f>
        <v>Ознакомиться</v>
      </c>
      <c r="W60" s="8" t="s">
        <v>430</v>
      </c>
      <c r="X60" s="6"/>
      <c r="Y60" s="6"/>
      <c r="Z60" s="6" t="s">
        <v>69</v>
      </c>
      <c r="AA60" s="6" t="s">
        <v>120</v>
      </c>
    </row>
    <row r="61" spans="1:27" s="4" customFormat="1" ht="51.95" customHeight="1">
      <c r="A61" s="5">
        <v>0</v>
      </c>
      <c r="B61" s="6" t="s">
        <v>441</v>
      </c>
      <c r="C61" s="13">
        <v>1550</v>
      </c>
      <c r="D61" s="8" t="s">
        <v>442</v>
      </c>
      <c r="E61" s="8" t="s">
        <v>443</v>
      </c>
      <c r="F61" s="8" t="s">
        <v>444</v>
      </c>
      <c r="G61" s="6" t="s">
        <v>52</v>
      </c>
      <c r="H61" s="6" t="s">
        <v>158</v>
      </c>
      <c r="I61" s="8"/>
      <c r="J61" s="9">
        <v>1</v>
      </c>
      <c r="K61" s="9">
        <v>336</v>
      </c>
      <c r="L61" s="9">
        <v>2024</v>
      </c>
      <c r="M61" s="8" t="s">
        <v>445</v>
      </c>
      <c r="N61" s="8" t="s">
        <v>40</v>
      </c>
      <c r="O61" s="8" t="s">
        <v>41</v>
      </c>
      <c r="P61" s="6" t="s">
        <v>161</v>
      </c>
      <c r="Q61" s="8" t="s">
        <v>379</v>
      </c>
      <c r="R61" s="10" t="s">
        <v>446</v>
      </c>
      <c r="S61" s="11" t="s">
        <v>447</v>
      </c>
      <c r="T61" s="6"/>
      <c r="U61" s="28" t="str">
        <f>HYPERLINK("https://media.infra-m.ru/1905/1905724/cover/1905724.jpg", "Обложка")</f>
        <v>Обложка</v>
      </c>
      <c r="V61" s="28" t="str">
        <f>HYPERLINK("https://znanium.com/catalog/product/1905724", "Ознакомиться")</f>
        <v>Ознакомиться</v>
      </c>
      <c r="W61" s="8" t="s">
        <v>164</v>
      </c>
      <c r="X61" s="6"/>
      <c r="Y61" s="6"/>
      <c r="Z61" s="6"/>
      <c r="AA61" s="6" t="s">
        <v>144</v>
      </c>
    </row>
    <row r="62" spans="1:27" s="4" customFormat="1" ht="51.95" customHeight="1">
      <c r="A62" s="5">
        <v>0</v>
      </c>
      <c r="B62" s="6" t="s">
        <v>448</v>
      </c>
      <c r="C62" s="7">
        <v>984</v>
      </c>
      <c r="D62" s="8" t="s">
        <v>449</v>
      </c>
      <c r="E62" s="8" t="s">
        <v>450</v>
      </c>
      <c r="F62" s="8" t="s">
        <v>451</v>
      </c>
      <c r="G62" s="6" t="s">
        <v>52</v>
      </c>
      <c r="H62" s="6" t="s">
        <v>149</v>
      </c>
      <c r="I62" s="8" t="s">
        <v>379</v>
      </c>
      <c r="J62" s="9">
        <v>1</v>
      </c>
      <c r="K62" s="9">
        <v>208</v>
      </c>
      <c r="L62" s="9">
        <v>2024</v>
      </c>
      <c r="M62" s="8" t="s">
        <v>452</v>
      </c>
      <c r="N62" s="8" t="s">
        <v>40</v>
      </c>
      <c r="O62" s="8" t="s">
        <v>41</v>
      </c>
      <c r="P62" s="6" t="s">
        <v>161</v>
      </c>
      <c r="Q62" s="8" t="s">
        <v>66</v>
      </c>
      <c r="R62" s="10" t="s">
        <v>453</v>
      </c>
      <c r="S62" s="11" t="s">
        <v>454</v>
      </c>
      <c r="T62" s="6"/>
      <c r="U62" s="28" t="str">
        <f>HYPERLINK("https://media.infra-m.ru/2089/2089843/cover/2089843.jpg", "Обложка")</f>
        <v>Обложка</v>
      </c>
      <c r="V62" s="28" t="str">
        <f>HYPERLINK("https://znanium.com/catalog/product/1912887", "Ознакомиться")</f>
        <v>Ознакомиться</v>
      </c>
      <c r="W62" s="8"/>
      <c r="X62" s="6"/>
      <c r="Y62" s="6"/>
      <c r="Z62" s="6"/>
      <c r="AA62" s="6" t="s">
        <v>455</v>
      </c>
    </row>
    <row r="63" spans="1:27" s="4" customFormat="1" ht="51.95" customHeight="1">
      <c r="A63" s="5">
        <v>0</v>
      </c>
      <c r="B63" s="6" t="s">
        <v>456</v>
      </c>
      <c r="C63" s="7">
        <v>794</v>
      </c>
      <c r="D63" s="8" t="s">
        <v>457</v>
      </c>
      <c r="E63" s="8" t="s">
        <v>458</v>
      </c>
      <c r="F63" s="8" t="s">
        <v>459</v>
      </c>
      <c r="G63" s="6" t="s">
        <v>37</v>
      </c>
      <c r="H63" s="6" t="s">
        <v>149</v>
      </c>
      <c r="I63" s="8" t="s">
        <v>54</v>
      </c>
      <c r="J63" s="9">
        <v>1</v>
      </c>
      <c r="K63" s="9">
        <v>176</v>
      </c>
      <c r="L63" s="9">
        <v>2022</v>
      </c>
      <c r="M63" s="8" t="s">
        <v>460</v>
      </c>
      <c r="N63" s="8" t="s">
        <v>40</v>
      </c>
      <c r="O63" s="8" t="s">
        <v>41</v>
      </c>
      <c r="P63" s="6" t="s">
        <v>42</v>
      </c>
      <c r="Q63" s="8" t="s">
        <v>43</v>
      </c>
      <c r="R63" s="10" t="s">
        <v>461</v>
      </c>
      <c r="S63" s="11" t="s">
        <v>462</v>
      </c>
      <c r="T63" s="6"/>
      <c r="U63" s="28" t="str">
        <f>HYPERLINK("https://media.infra-m.ru/1836/1836628/cover/1836628.jpg", "Обложка")</f>
        <v>Обложка</v>
      </c>
      <c r="V63" s="28" t="str">
        <f>HYPERLINK("https://znanium.com/catalog/product/1836628", "Ознакомиться")</f>
        <v>Ознакомиться</v>
      </c>
      <c r="W63" s="8" t="s">
        <v>204</v>
      </c>
      <c r="X63" s="6"/>
      <c r="Y63" s="6"/>
      <c r="Z63" s="6"/>
      <c r="AA63" s="6" t="s">
        <v>205</v>
      </c>
    </row>
    <row r="64" spans="1:27" s="4" customFormat="1" ht="51.95" customHeight="1">
      <c r="A64" s="5">
        <v>0</v>
      </c>
      <c r="B64" s="6" t="s">
        <v>463</v>
      </c>
      <c r="C64" s="7">
        <v>434</v>
      </c>
      <c r="D64" s="8" t="s">
        <v>464</v>
      </c>
      <c r="E64" s="8" t="s">
        <v>465</v>
      </c>
      <c r="F64" s="8" t="s">
        <v>466</v>
      </c>
      <c r="G64" s="6" t="s">
        <v>74</v>
      </c>
      <c r="H64" s="6" t="s">
        <v>113</v>
      </c>
      <c r="I64" s="8" t="s">
        <v>467</v>
      </c>
      <c r="J64" s="9">
        <v>1</v>
      </c>
      <c r="K64" s="9">
        <v>95</v>
      </c>
      <c r="L64" s="9">
        <v>2023</v>
      </c>
      <c r="M64" s="8" t="s">
        <v>468</v>
      </c>
      <c r="N64" s="8" t="s">
        <v>40</v>
      </c>
      <c r="O64" s="8" t="s">
        <v>41</v>
      </c>
      <c r="P64" s="6" t="s">
        <v>42</v>
      </c>
      <c r="Q64" s="8" t="s">
        <v>43</v>
      </c>
      <c r="R64" s="10" t="s">
        <v>469</v>
      </c>
      <c r="S64" s="11" t="s">
        <v>470</v>
      </c>
      <c r="T64" s="6"/>
      <c r="U64" s="28" t="str">
        <f>HYPERLINK("https://media.infra-m.ru/2044/2044340/cover/2044340.jpg", "Обложка")</f>
        <v>Обложка</v>
      </c>
      <c r="V64" s="28" t="str">
        <f>HYPERLINK("https://znanium.com/catalog/product/368460", "Ознакомиться")</f>
        <v>Ознакомиться</v>
      </c>
      <c r="W64" s="8" t="s">
        <v>471</v>
      </c>
      <c r="X64" s="6"/>
      <c r="Y64" s="6"/>
      <c r="Z64" s="6"/>
      <c r="AA64" s="6" t="s">
        <v>108</v>
      </c>
    </row>
    <row r="65" spans="1:27" s="4" customFormat="1" ht="42" customHeight="1">
      <c r="A65" s="5">
        <v>0</v>
      </c>
      <c r="B65" s="6" t="s">
        <v>472</v>
      </c>
      <c r="C65" s="7">
        <v>620</v>
      </c>
      <c r="D65" s="8" t="s">
        <v>473</v>
      </c>
      <c r="E65" s="8" t="s">
        <v>474</v>
      </c>
      <c r="F65" s="8" t="s">
        <v>475</v>
      </c>
      <c r="G65" s="6" t="s">
        <v>74</v>
      </c>
      <c r="H65" s="6" t="s">
        <v>476</v>
      </c>
      <c r="I65" s="8"/>
      <c r="J65" s="9">
        <v>1</v>
      </c>
      <c r="K65" s="9">
        <v>152</v>
      </c>
      <c r="L65" s="9">
        <v>2022</v>
      </c>
      <c r="M65" s="8" t="s">
        <v>477</v>
      </c>
      <c r="N65" s="8" t="s">
        <v>40</v>
      </c>
      <c r="O65" s="8" t="s">
        <v>41</v>
      </c>
      <c r="P65" s="6" t="s">
        <v>42</v>
      </c>
      <c r="Q65" s="8" t="s">
        <v>43</v>
      </c>
      <c r="R65" s="10" t="s">
        <v>478</v>
      </c>
      <c r="S65" s="11"/>
      <c r="T65" s="6"/>
      <c r="U65" s="28" t="str">
        <f>HYPERLINK("https://media.infra-m.ru/1859/1859029/cover/1859029.jpg", "Обложка")</f>
        <v>Обложка</v>
      </c>
      <c r="V65" s="28" t="str">
        <f>HYPERLINK("https://znanium.com/catalog/product/1859029", "Ознакомиться")</f>
        <v>Ознакомиться</v>
      </c>
      <c r="W65" s="8" t="s">
        <v>479</v>
      </c>
      <c r="X65" s="6"/>
      <c r="Y65" s="6"/>
      <c r="Z65" s="6"/>
      <c r="AA65" s="6" t="s">
        <v>144</v>
      </c>
    </row>
    <row r="66" spans="1:27" s="4" customFormat="1" ht="51.95" customHeight="1">
      <c r="A66" s="5">
        <v>0</v>
      </c>
      <c r="B66" s="6" t="s">
        <v>480</v>
      </c>
      <c r="C66" s="13">
        <v>1804.9</v>
      </c>
      <c r="D66" s="8" t="s">
        <v>481</v>
      </c>
      <c r="E66" s="8" t="s">
        <v>482</v>
      </c>
      <c r="F66" s="8" t="s">
        <v>483</v>
      </c>
      <c r="G66" s="6" t="s">
        <v>37</v>
      </c>
      <c r="H66" s="6" t="s">
        <v>113</v>
      </c>
      <c r="I66" s="8" t="s">
        <v>467</v>
      </c>
      <c r="J66" s="9">
        <v>1</v>
      </c>
      <c r="K66" s="9">
        <v>400</v>
      </c>
      <c r="L66" s="9">
        <v>2023</v>
      </c>
      <c r="M66" s="8" t="s">
        <v>484</v>
      </c>
      <c r="N66" s="8" t="s">
        <v>40</v>
      </c>
      <c r="O66" s="8" t="s">
        <v>41</v>
      </c>
      <c r="P66" s="6" t="s">
        <v>42</v>
      </c>
      <c r="Q66" s="8" t="s">
        <v>485</v>
      </c>
      <c r="R66" s="10" t="s">
        <v>486</v>
      </c>
      <c r="S66" s="11" t="s">
        <v>487</v>
      </c>
      <c r="T66" s="6"/>
      <c r="U66" s="28" t="str">
        <f>HYPERLINK("https://media.infra-m.ru/2002/2002599/cover/2002599.jpg", "Обложка")</f>
        <v>Обложка</v>
      </c>
      <c r="V66" s="28" t="str">
        <f>HYPERLINK("https://znanium.com/catalog/product/2125017", "Ознакомиться")</f>
        <v>Ознакомиться</v>
      </c>
      <c r="W66" s="8" t="s">
        <v>204</v>
      </c>
      <c r="X66" s="6"/>
      <c r="Y66" s="6"/>
      <c r="Z66" s="6"/>
      <c r="AA66" s="6" t="s">
        <v>245</v>
      </c>
    </row>
    <row r="67" spans="1:27" s="4" customFormat="1" ht="51.95" customHeight="1">
      <c r="A67" s="5">
        <v>0</v>
      </c>
      <c r="B67" s="6" t="s">
        <v>488</v>
      </c>
      <c r="C67" s="13">
        <v>1990</v>
      </c>
      <c r="D67" s="8" t="s">
        <v>489</v>
      </c>
      <c r="E67" s="8" t="s">
        <v>490</v>
      </c>
      <c r="F67" s="8" t="s">
        <v>491</v>
      </c>
      <c r="G67" s="6" t="s">
        <v>52</v>
      </c>
      <c r="H67" s="6" t="s">
        <v>53</v>
      </c>
      <c r="I67" s="8" t="s">
        <v>84</v>
      </c>
      <c r="J67" s="9">
        <v>1</v>
      </c>
      <c r="K67" s="9">
        <v>445</v>
      </c>
      <c r="L67" s="9">
        <v>2022</v>
      </c>
      <c r="M67" s="8" t="s">
        <v>492</v>
      </c>
      <c r="N67" s="8" t="s">
        <v>40</v>
      </c>
      <c r="O67" s="8" t="s">
        <v>41</v>
      </c>
      <c r="P67" s="6" t="s">
        <v>42</v>
      </c>
      <c r="Q67" s="8" t="s">
        <v>66</v>
      </c>
      <c r="R67" s="10" t="s">
        <v>493</v>
      </c>
      <c r="S67" s="11" t="s">
        <v>494</v>
      </c>
      <c r="T67" s="6"/>
      <c r="U67" s="28" t="str">
        <f>HYPERLINK("https://media.infra-m.ru/1703/1703191/cover/1703191.jpg", "Обложка")</f>
        <v>Обложка</v>
      </c>
      <c r="V67" s="28" t="str">
        <f>HYPERLINK("https://znanium.com/catalog/product/1703191", "Ознакомиться")</f>
        <v>Ознакомиться</v>
      </c>
      <c r="W67" s="8" t="s">
        <v>495</v>
      </c>
      <c r="X67" s="6"/>
      <c r="Y67" s="6" t="s">
        <v>30</v>
      </c>
      <c r="Z67" s="6"/>
      <c r="AA67" s="6" t="s">
        <v>496</v>
      </c>
    </row>
    <row r="68" spans="1:27" s="4" customFormat="1" ht="51.95" customHeight="1">
      <c r="A68" s="5">
        <v>0</v>
      </c>
      <c r="B68" s="6" t="s">
        <v>497</v>
      </c>
      <c r="C68" s="13">
        <v>1844</v>
      </c>
      <c r="D68" s="8" t="s">
        <v>498</v>
      </c>
      <c r="E68" s="8" t="s">
        <v>499</v>
      </c>
      <c r="F68" s="8" t="s">
        <v>500</v>
      </c>
      <c r="G68" s="6" t="s">
        <v>52</v>
      </c>
      <c r="H68" s="6" t="s">
        <v>158</v>
      </c>
      <c r="I68" s="8"/>
      <c r="J68" s="9">
        <v>1</v>
      </c>
      <c r="K68" s="9">
        <v>400</v>
      </c>
      <c r="L68" s="9">
        <v>2024</v>
      </c>
      <c r="M68" s="8" t="s">
        <v>501</v>
      </c>
      <c r="N68" s="8" t="s">
        <v>40</v>
      </c>
      <c r="O68" s="8" t="s">
        <v>41</v>
      </c>
      <c r="P68" s="6" t="s">
        <v>42</v>
      </c>
      <c r="Q68" s="8" t="s">
        <v>43</v>
      </c>
      <c r="R68" s="10" t="s">
        <v>502</v>
      </c>
      <c r="S68" s="11" t="s">
        <v>503</v>
      </c>
      <c r="T68" s="6"/>
      <c r="U68" s="28" t="str">
        <f>HYPERLINK("https://media.infra-m.ru/1927/1927314/cover/1927314.jpg", "Обложка")</f>
        <v>Обложка</v>
      </c>
      <c r="V68" s="28" t="str">
        <f>HYPERLINK("https://znanium.com/catalog/product/1215355", "Ознакомиться")</f>
        <v>Ознакомиться</v>
      </c>
      <c r="W68" s="8" t="s">
        <v>504</v>
      </c>
      <c r="X68" s="6"/>
      <c r="Y68" s="6"/>
      <c r="Z68" s="6"/>
      <c r="AA68" s="6" t="s">
        <v>165</v>
      </c>
    </row>
    <row r="69" spans="1:27" s="4" customFormat="1" ht="51.95" customHeight="1">
      <c r="A69" s="5">
        <v>0</v>
      </c>
      <c r="B69" s="6" t="s">
        <v>505</v>
      </c>
      <c r="C69" s="7">
        <v>944</v>
      </c>
      <c r="D69" s="8" t="s">
        <v>506</v>
      </c>
      <c r="E69" s="8" t="s">
        <v>507</v>
      </c>
      <c r="F69" s="8" t="s">
        <v>36</v>
      </c>
      <c r="G69" s="6" t="s">
        <v>52</v>
      </c>
      <c r="H69" s="6" t="s">
        <v>113</v>
      </c>
      <c r="I69" s="8" t="s">
        <v>368</v>
      </c>
      <c r="J69" s="9">
        <v>1</v>
      </c>
      <c r="K69" s="9">
        <v>205</v>
      </c>
      <c r="L69" s="9">
        <v>2023</v>
      </c>
      <c r="M69" s="8" t="s">
        <v>508</v>
      </c>
      <c r="N69" s="8" t="s">
        <v>40</v>
      </c>
      <c r="O69" s="8" t="s">
        <v>41</v>
      </c>
      <c r="P69" s="6" t="s">
        <v>161</v>
      </c>
      <c r="Q69" s="8" t="s">
        <v>43</v>
      </c>
      <c r="R69" s="10" t="s">
        <v>509</v>
      </c>
      <c r="S69" s="11" t="s">
        <v>510</v>
      </c>
      <c r="T69" s="6"/>
      <c r="U69" s="28" t="str">
        <f>HYPERLINK("https://media.infra-m.ru/1817/1817279/cover/1817279.jpg", "Обложка")</f>
        <v>Обложка</v>
      </c>
      <c r="V69" s="28" t="str">
        <f>HYPERLINK("https://znanium.com/catalog/product/1149101", "Ознакомиться")</f>
        <v>Ознакомиться</v>
      </c>
      <c r="W69" s="8" t="s">
        <v>46</v>
      </c>
      <c r="X69" s="6"/>
      <c r="Y69" s="6"/>
      <c r="Z69" s="6"/>
      <c r="AA69" s="6" t="s">
        <v>226</v>
      </c>
    </row>
    <row r="70" spans="1:27" s="4" customFormat="1" ht="51.95" customHeight="1">
      <c r="A70" s="5">
        <v>0</v>
      </c>
      <c r="B70" s="6" t="s">
        <v>511</v>
      </c>
      <c r="C70" s="7">
        <v>924.9</v>
      </c>
      <c r="D70" s="8" t="s">
        <v>512</v>
      </c>
      <c r="E70" s="8" t="s">
        <v>507</v>
      </c>
      <c r="F70" s="8" t="s">
        <v>36</v>
      </c>
      <c r="G70" s="6" t="s">
        <v>37</v>
      </c>
      <c r="H70" s="6" t="s">
        <v>113</v>
      </c>
      <c r="I70" s="8" t="s">
        <v>64</v>
      </c>
      <c r="J70" s="9">
        <v>1</v>
      </c>
      <c r="K70" s="9">
        <v>205</v>
      </c>
      <c r="L70" s="9">
        <v>2023</v>
      </c>
      <c r="M70" s="8" t="s">
        <v>513</v>
      </c>
      <c r="N70" s="8" t="s">
        <v>40</v>
      </c>
      <c r="O70" s="8" t="s">
        <v>41</v>
      </c>
      <c r="P70" s="6" t="s">
        <v>161</v>
      </c>
      <c r="Q70" s="8" t="s">
        <v>66</v>
      </c>
      <c r="R70" s="10" t="s">
        <v>285</v>
      </c>
      <c r="S70" s="11" t="s">
        <v>514</v>
      </c>
      <c r="T70" s="6"/>
      <c r="U70" s="28" t="str">
        <f>HYPERLINK("https://media.infra-m.ru/2045/2045999/cover/2045999.jpg", "Обложка")</f>
        <v>Обложка</v>
      </c>
      <c r="V70" s="28" t="str">
        <f>HYPERLINK("https://znanium.com/catalog/product/1045133", "Ознакомиться")</f>
        <v>Ознакомиться</v>
      </c>
      <c r="W70" s="8" t="s">
        <v>46</v>
      </c>
      <c r="X70" s="6"/>
      <c r="Y70" s="6"/>
      <c r="Z70" s="6" t="s">
        <v>69</v>
      </c>
      <c r="AA70" s="6" t="s">
        <v>253</v>
      </c>
    </row>
    <row r="71" spans="1:27" s="4" customFormat="1" ht="51.95" customHeight="1">
      <c r="A71" s="5">
        <v>0</v>
      </c>
      <c r="B71" s="6" t="s">
        <v>515</v>
      </c>
      <c r="C71" s="13">
        <v>1654.9</v>
      </c>
      <c r="D71" s="8" t="s">
        <v>516</v>
      </c>
      <c r="E71" s="8" t="s">
        <v>517</v>
      </c>
      <c r="F71" s="8" t="s">
        <v>518</v>
      </c>
      <c r="G71" s="6" t="s">
        <v>52</v>
      </c>
      <c r="H71" s="6" t="s">
        <v>53</v>
      </c>
      <c r="I71" s="8" t="s">
        <v>64</v>
      </c>
      <c r="J71" s="9">
        <v>1</v>
      </c>
      <c r="K71" s="9">
        <v>368</v>
      </c>
      <c r="L71" s="9">
        <v>2023</v>
      </c>
      <c r="M71" s="8" t="s">
        <v>519</v>
      </c>
      <c r="N71" s="8" t="s">
        <v>40</v>
      </c>
      <c r="O71" s="8" t="s">
        <v>41</v>
      </c>
      <c r="P71" s="6" t="s">
        <v>42</v>
      </c>
      <c r="Q71" s="8" t="s">
        <v>66</v>
      </c>
      <c r="R71" s="10" t="s">
        <v>520</v>
      </c>
      <c r="S71" s="11" t="s">
        <v>521</v>
      </c>
      <c r="T71" s="6"/>
      <c r="U71" s="28" t="str">
        <f>HYPERLINK("https://media.infra-m.ru/1976/1976077/cover/1976077.jpg", "Обложка")</f>
        <v>Обложка</v>
      </c>
      <c r="V71" s="28" t="str">
        <f>HYPERLINK("https://znanium.com/catalog/product/1189325", "Ознакомиться")</f>
        <v>Ознакомиться</v>
      </c>
      <c r="W71" s="8" t="s">
        <v>522</v>
      </c>
      <c r="X71" s="6"/>
      <c r="Y71" s="6"/>
      <c r="Z71" s="6"/>
      <c r="AA71" s="6" t="s">
        <v>348</v>
      </c>
    </row>
    <row r="72" spans="1:27" s="4" customFormat="1" ht="51.95" customHeight="1">
      <c r="A72" s="5">
        <v>0</v>
      </c>
      <c r="B72" s="6" t="s">
        <v>523</v>
      </c>
      <c r="C72" s="7">
        <v>930</v>
      </c>
      <c r="D72" s="8" t="s">
        <v>524</v>
      </c>
      <c r="E72" s="8" t="s">
        <v>525</v>
      </c>
      <c r="F72" s="8" t="s">
        <v>526</v>
      </c>
      <c r="G72" s="6" t="s">
        <v>52</v>
      </c>
      <c r="H72" s="6" t="s">
        <v>113</v>
      </c>
      <c r="I72" s="8" t="s">
        <v>54</v>
      </c>
      <c r="J72" s="9">
        <v>1</v>
      </c>
      <c r="K72" s="9">
        <v>201</v>
      </c>
      <c r="L72" s="9">
        <v>2023</v>
      </c>
      <c r="M72" s="8" t="s">
        <v>527</v>
      </c>
      <c r="N72" s="8" t="s">
        <v>40</v>
      </c>
      <c r="O72" s="8" t="s">
        <v>41</v>
      </c>
      <c r="P72" s="6" t="s">
        <v>42</v>
      </c>
      <c r="Q72" s="8" t="s">
        <v>379</v>
      </c>
      <c r="R72" s="10" t="s">
        <v>528</v>
      </c>
      <c r="S72" s="11" t="s">
        <v>529</v>
      </c>
      <c r="T72" s="6"/>
      <c r="U72" s="28" t="str">
        <f>HYPERLINK("https://media.infra-m.ru/2012/2012509/cover/2012509.jpg", "Обложка")</f>
        <v>Обложка</v>
      </c>
      <c r="V72" s="28" t="str">
        <f>HYPERLINK("https://znanium.com/catalog/product/1912987", "Ознакомиться")</f>
        <v>Ознакомиться</v>
      </c>
      <c r="W72" s="8" t="s">
        <v>88</v>
      </c>
      <c r="X72" s="6"/>
      <c r="Y72" s="6"/>
      <c r="Z72" s="6"/>
      <c r="AA72" s="6" t="s">
        <v>245</v>
      </c>
    </row>
    <row r="73" spans="1:27" s="4" customFormat="1" ht="51.95" customHeight="1">
      <c r="A73" s="5">
        <v>0</v>
      </c>
      <c r="B73" s="6" t="s">
        <v>530</v>
      </c>
      <c r="C73" s="13">
        <v>1800</v>
      </c>
      <c r="D73" s="8" t="s">
        <v>531</v>
      </c>
      <c r="E73" s="8" t="s">
        <v>532</v>
      </c>
      <c r="F73" s="8" t="s">
        <v>533</v>
      </c>
      <c r="G73" s="6" t="s">
        <v>52</v>
      </c>
      <c r="H73" s="6" t="s">
        <v>83</v>
      </c>
      <c r="I73" s="8" t="s">
        <v>84</v>
      </c>
      <c r="J73" s="9">
        <v>1</v>
      </c>
      <c r="K73" s="9">
        <v>400</v>
      </c>
      <c r="L73" s="9">
        <v>2023</v>
      </c>
      <c r="M73" s="8" t="s">
        <v>534</v>
      </c>
      <c r="N73" s="8" t="s">
        <v>40</v>
      </c>
      <c r="O73" s="8" t="s">
        <v>41</v>
      </c>
      <c r="P73" s="6" t="s">
        <v>42</v>
      </c>
      <c r="Q73" s="8" t="s">
        <v>379</v>
      </c>
      <c r="R73" s="10" t="s">
        <v>535</v>
      </c>
      <c r="S73" s="11"/>
      <c r="T73" s="6"/>
      <c r="U73" s="28" t="str">
        <f>HYPERLINK("https://media.infra-m.ru/1912/1912992/cover/1912992.jpg", "Обложка")</f>
        <v>Обложка</v>
      </c>
      <c r="V73" s="28" t="str">
        <f>HYPERLINK("https://znanium.com/catalog/product/1912992", "Ознакомиться")</f>
        <v>Ознакомиться</v>
      </c>
      <c r="W73" s="8" t="s">
        <v>536</v>
      </c>
      <c r="X73" s="6"/>
      <c r="Y73" s="6"/>
      <c r="Z73" s="6"/>
      <c r="AA73" s="6" t="s">
        <v>341</v>
      </c>
    </row>
    <row r="74" spans="1:27" s="4" customFormat="1" ht="51.95" customHeight="1">
      <c r="A74" s="5">
        <v>0</v>
      </c>
      <c r="B74" s="6" t="s">
        <v>537</v>
      </c>
      <c r="C74" s="7">
        <v>999.9</v>
      </c>
      <c r="D74" s="8" t="s">
        <v>538</v>
      </c>
      <c r="E74" s="8" t="s">
        <v>539</v>
      </c>
      <c r="F74" s="8" t="s">
        <v>540</v>
      </c>
      <c r="G74" s="6" t="s">
        <v>37</v>
      </c>
      <c r="H74" s="6" t="s">
        <v>83</v>
      </c>
      <c r="I74" s="8" t="s">
        <v>541</v>
      </c>
      <c r="J74" s="9">
        <v>1</v>
      </c>
      <c r="K74" s="9">
        <v>392</v>
      </c>
      <c r="L74" s="9">
        <v>2018</v>
      </c>
      <c r="M74" s="8" t="s">
        <v>542</v>
      </c>
      <c r="N74" s="8" t="s">
        <v>40</v>
      </c>
      <c r="O74" s="8" t="s">
        <v>41</v>
      </c>
      <c r="P74" s="6" t="s">
        <v>42</v>
      </c>
      <c r="Q74" s="8" t="s">
        <v>43</v>
      </c>
      <c r="R74" s="10" t="s">
        <v>535</v>
      </c>
      <c r="S74" s="11" t="s">
        <v>543</v>
      </c>
      <c r="T74" s="6"/>
      <c r="U74" s="28" t="str">
        <f>HYPERLINK("https://media.infra-m.ru/0937/0937469/cover/937469.jpg", "Обложка")</f>
        <v>Обложка</v>
      </c>
      <c r="V74" s="28" t="str">
        <f>HYPERLINK("https://znanium.com/catalog/product/1912992", "Ознакомиться")</f>
        <v>Ознакомиться</v>
      </c>
      <c r="W74" s="8" t="s">
        <v>536</v>
      </c>
      <c r="X74" s="6"/>
      <c r="Y74" s="6"/>
      <c r="Z74" s="6"/>
      <c r="AA74" s="6" t="s">
        <v>348</v>
      </c>
    </row>
    <row r="75" spans="1:27" s="4" customFormat="1" ht="51.95" customHeight="1">
      <c r="A75" s="5">
        <v>0</v>
      </c>
      <c r="B75" s="6" t="s">
        <v>544</v>
      </c>
      <c r="C75" s="13">
        <v>1170</v>
      </c>
      <c r="D75" s="8" t="s">
        <v>545</v>
      </c>
      <c r="E75" s="8" t="s">
        <v>546</v>
      </c>
      <c r="F75" s="8" t="s">
        <v>547</v>
      </c>
      <c r="G75" s="6" t="s">
        <v>52</v>
      </c>
      <c r="H75" s="6" t="s">
        <v>113</v>
      </c>
      <c r="I75" s="8" t="s">
        <v>54</v>
      </c>
      <c r="J75" s="9">
        <v>1</v>
      </c>
      <c r="K75" s="9">
        <v>254</v>
      </c>
      <c r="L75" s="9">
        <v>2024</v>
      </c>
      <c r="M75" s="8" t="s">
        <v>548</v>
      </c>
      <c r="N75" s="8" t="s">
        <v>40</v>
      </c>
      <c r="O75" s="8" t="s">
        <v>41</v>
      </c>
      <c r="P75" s="6" t="s">
        <v>42</v>
      </c>
      <c r="Q75" s="8" t="s">
        <v>43</v>
      </c>
      <c r="R75" s="10" t="s">
        <v>549</v>
      </c>
      <c r="S75" s="11" t="s">
        <v>550</v>
      </c>
      <c r="T75" s="6"/>
      <c r="U75" s="28" t="str">
        <f>HYPERLINK("https://media.infra-m.ru/2079/2079693/cover/2079693.jpg", "Обложка")</f>
        <v>Обложка</v>
      </c>
      <c r="V75" s="28" t="str">
        <f>HYPERLINK("https://znanium.com/catalog/product/2079693", "Ознакомиться")</f>
        <v>Ознакомиться</v>
      </c>
      <c r="W75" s="8" t="s">
        <v>143</v>
      </c>
      <c r="X75" s="6"/>
      <c r="Y75" s="6"/>
      <c r="Z75" s="6"/>
      <c r="AA75" s="6" t="s">
        <v>89</v>
      </c>
    </row>
    <row r="76" spans="1:27" s="4" customFormat="1" ht="51.95" customHeight="1">
      <c r="A76" s="5">
        <v>0</v>
      </c>
      <c r="B76" s="6" t="s">
        <v>551</v>
      </c>
      <c r="C76" s="7">
        <v>614.9</v>
      </c>
      <c r="D76" s="8" t="s">
        <v>552</v>
      </c>
      <c r="E76" s="8" t="s">
        <v>553</v>
      </c>
      <c r="F76" s="8" t="s">
        <v>554</v>
      </c>
      <c r="G76" s="6" t="s">
        <v>37</v>
      </c>
      <c r="H76" s="6" t="s">
        <v>158</v>
      </c>
      <c r="I76" s="8" t="s">
        <v>159</v>
      </c>
      <c r="J76" s="9">
        <v>1</v>
      </c>
      <c r="K76" s="9">
        <v>192</v>
      </c>
      <c r="L76" s="9">
        <v>2019</v>
      </c>
      <c r="M76" s="8" t="s">
        <v>555</v>
      </c>
      <c r="N76" s="8" t="s">
        <v>40</v>
      </c>
      <c r="O76" s="8" t="s">
        <v>41</v>
      </c>
      <c r="P76" s="6" t="s">
        <v>42</v>
      </c>
      <c r="Q76" s="8" t="s">
        <v>43</v>
      </c>
      <c r="R76" s="10" t="s">
        <v>556</v>
      </c>
      <c r="S76" s="11" t="s">
        <v>557</v>
      </c>
      <c r="T76" s="6"/>
      <c r="U76" s="28" t="str">
        <f>HYPERLINK("https://media.infra-m.ru/1024/1024051/cover/1024051.jpg", "Обложка")</f>
        <v>Обложка</v>
      </c>
      <c r="V76" s="28" t="str">
        <f>HYPERLINK("https://znanium.com/catalog/product/754579", "Ознакомиться")</f>
        <v>Ознакомиться</v>
      </c>
      <c r="W76" s="8" t="s">
        <v>558</v>
      </c>
      <c r="X76" s="6"/>
      <c r="Y76" s="6"/>
      <c r="Z76" s="6"/>
      <c r="AA76" s="6" t="s">
        <v>165</v>
      </c>
    </row>
    <row r="77" spans="1:27" s="4" customFormat="1" ht="51.95" customHeight="1">
      <c r="A77" s="5">
        <v>0</v>
      </c>
      <c r="B77" s="6" t="s">
        <v>559</v>
      </c>
      <c r="C77" s="13">
        <v>1124.9000000000001</v>
      </c>
      <c r="D77" s="8" t="s">
        <v>560</v>
      </c>
      <c r="E77" s="8" t="s">
        <v>561</v>
      </c>
      <c r="F77" s="8" t="s">
        <v>562</v>
      </c>
      <c r="G77" s="6" t="s">
        <v>52</v>
      </c>
      <c r="H77" s="6" t="s">
        <v>38</v>
      </c>
      <c r="I77" s="8"/>
      <c r="J77" s="9">
        <v>1</v>
      </c>
      <c r="K77" s="9">
        <v>283</v>
      </c>
      <c r="L77" s="9">
        <v>2022</v>
      </c>
      <c r="M77" s="8" t="s">
        <v>563</v>
      </c>
      <c r="N77" s="8" t="s">
        <v>40</v>
      </c>
      <c r="O77" s="8" t="s">
        <v>41</v>
      </c>
      <c r="P77" s="6" t="s">
        <v>42</v>
      </c>
      <c r="Q77" s="8" t="s">
        <v>485</v>
      </c>
      <c r="R77" s="10" t="s">
        <v>564</v>
      </c>
      <c r="S77" s="11"/>
      <c r="T77" s="6"/>
      <c r="U77" s="28" t="str">
        <f>HYPERLINK("https://media.infra-m.ru/1861/1861786/cover/1861786.jpg", "Обложка")</f>
        <v>Обложка</v>
      </c>
      <c r="V77" s="28" t="str">
        <f>HYPERLINK("https://znanium.com/catalog/product/1046042", "Ознакомиться")</f>
        <v>Ознакомиться</v>
      </c>
      <c r="W77" s="8" t="s">
        <v>565</v>
      </c>
      <c r="X77" s="6"/>
      <c r="Y77" s="6"/>
      <c r="Z77" s="6"/>
      <c r="AA77" s="6" t="s">
        <v>120</v>
      </c>
    </row>
    <row r="78" spans="1:27" s="4" customFormat="1" ht="51.95" customHeight="1">
      <c r="A78" s="5">
        <v>0</v>
      </c>
      <c r="B78" s="6" t="s">
        <v>566</v>
      </c>
      <c r="C78" s="13">
        <v>1300</v>
      </c>
      <c r="D78" s="8" t="s">
        <v>567</v>
      </c>
      <c r="E78" s="8" t="s">
        <v>568</v>
      </c>
      <c r="F78" s="8" t="s">
        <v>569</v>
      </c>
      <c r="G78" s="6" t="s">
        <v>37</v>
      </c>
      <c r="H78" s="6" t="s">
        <v>113</v>
      </c>
      <c r="I78" s="8" t="s">
        <v>377</v>
      </c>
      <c r="J78" s="9">
        <v>1</v>
      </c>
      <c r="K78" s="9">
        <v>273</v>
      </c>
      <c r="L78" s="9">
        <v>2024</v>
      </c>
      <c r="M78" s="8" t="s">
        <v>570</v>
      </c>
      <c r="N78" s="8" t="s">
        <v>40</v>
      </c>
      <c r="O78" s="8" t="s">
        <v>41</v>
      </c>
      <c r="P78" s="6" t="s">
        <v>42</v>
      </c>
      <c r="Q78" s="8" t="s">
        <v>43</v>
      </c>
      <c r="R78" s="10" t="s">
        <v>571</v>
      </c>
      <c r="S78" s="11"/>
      <c r="T78" s="6"/>
      <c r="U78" s="28" t="str">
        <f>HYPERLINK("https://media.infra-m.ru/1911/1911031/cover/1911031.jpg", "Обложка")</f>
        <v>Обложка</v>
      </c>
      <c r="V78" s="28" t="str">
        <f>HYPERLINK("https://znanium.com/catalog/product/1911031", "Ознакомиться")</f>
        <v>Ознакомиться</v>
      </c>
      <c r="W78" s="8" t="s">
        <v>46</v>
      </c>
      <c r="X78" s="6" t="s">
        <v>572</v>
      </c>
      <c r="Y78" s="6"/>
      <c r="Z78" s="6"/>
      <c r="AA78" s="6" t="s">
        <v>173</v>
      </c>
    </row>
    <row r="79" spans="1:27" s="4" customFormat="1" ht="51.95" customHeight="1">
      <c r="A79" s="5">
        <v>0</v>
      </c>
      <c r="B79" s="6" t="s">
        <v>573</v>
      </c>
      <c r="C79" s="13">
        <v>1024</v>
      </c>
      <c r="D79" s="8" t="s">
        <v>574</v>
      </c>
      <c r="E79" s="8" t="s">
        <v>575</v>
      </c>
      <c r="F79" s="8" t="s">
        <v>576</v>
      </c>
      <c r="G79" s="6" t="s">
        <v>37</v>
      </c>
      <c r="H79" s="6" t="s">
        <v>113</v>
      </c>
      <c r="I79" s="8" t="s">
        <v>75</v>
      </c>
      <c r="J79" s="9">
        <v>1</v>
      </c>
      <c r="K79" s="9">
        <v>222</v>
      </c>
      <c r="L79" s="9">
        <v>2023</v>
      </c>
      <c r="M79" s="8" t="s">
        <v>577</v>
      </c>
      <c r="N79" s="8" t="s">
        <v>40</v>
      </c>
      <c r="O79" s="8" t="s">
        <v>41</v>
      </c>
      <c r="P79" s="6" t="s">
        <v>42</v>
      </c>
      <c r="Q79" s="8" t="s">
        <v>43</v>
      </c>
      <c r="R79" s="10" t="s">
        <v>578</v>
      </c>
      <c r="S79" s="11" t="s">
        <v>579</v>
      </c>
      <c r="T79" s="6"/>
      <c r="U79" s="28" t="str">
        <f>HYPERLINK("https://media.infra-m.ru/2051/2051473/cover/2051473.jpg", "Обложка")</f>
        <v>Обложка</v>
      </c>
      <c r="V79" s="28" t="str">
        <f>HYPERLINK("https://znanium.com/catalog/product/1171989", "Ознакомиться")</f>
        <v>Ознакомиться</v>
      </c>
      <c r="W79" s="8" t="s">
        <v>46</v>
      </c>
      <c r="X79" s="6"/>
      <c r="Y79" s="6"/>
      <c r="Z79" s="6"/>
      <c r="AA79" s="6" t="s">
        <v>245</v>
      </c>
    </row>
    <row r="80" spans="1:27" s="4" customFormat="1" ht="51.95" customHeight="1">
      <c r="A80" s="5">
        <v>0</v>
      </c>
      <c r="B80" s="6" t="s">
        <v>580</v>
      </c>
      <c r="C80" s="13">
        <v>2444</v>
      </c>
      <c r="D80" s="8" t="s">
        <v>581</v>
      </c>
      <c r="E80" s="8" t="s">
        <v>582</v>
      </c>
      <c r="F80" s="8" t="s">
        <v>583</v>
      </c>
      <c r="G80" s="6" t="s">
        <v>52</v>
      </c>
      <c r="H80" s="6" t="s">
        <v>113</v>
      </c>
      <c r="I80" s="8" t="s">
        <v>467</v>
      </c>
      <c r="J80" s="9">
        <v>1</v>
      </c>
      <c r="K80" s="9">
        <v>530</v>
      </c>
      <c r="L80" s="9">
        <v>2024</v>
      </c>
      <c r="M80" s="8" t="s">
        <v>584</v>
      </c>
      <c r="N80" s="8" t="s">
        <v>40</v>
      </c>
      <c r="O80" s="8" t="s">
        <v>41</v>
      </c>
      <c r="P80" s="6" t="s">
        <v>161</v>
      </c>
      <c r="Q80" s="8" t="s">
        <v>485</v>
      </c>
      <c r="R80" s="10" t="s">
        <v>585</v>
      </c>
      <c r="S80" s="11" t="s">
        <v>586</v>
      </c>
      <c r="T80" s="6" t="s">
        <v>117</v>
      </c>
      <c r="U80" s="28" t="str">
        <f>HYPERLINK("https://media.infra-m.ru/2084/2084168/cover/2084168.jpg", "Обложка")</f>
        <v>Обложка</v>
      </c>
      <c r="V80" s="28" t="str">
        <f>HYPERLINK("https://znanium.com/catalog/product/1900587", "Ознакомиться")</f>
        <v>Ознакомиться</v>
      </c>
      <c r="W80" s="8" t="s">
        <v>587</v>
      </c>
      <c r="X80" s="6"/>
      <c r="Y80" s="6"/>
      <c r="Z80" s="6"/>
      <c r="AA80" s="6" t="s">
        <v>245</v>
      </c>
    </row>
    <row r="81" spans="1:27" s="4" customFormat="1" ht="51.95" customHeight="1">
      <c r="A81" s="5">
        <v>0</v>
      </c>
      <c r="B81" s="6" t="s">
        <v>588</v>
      </c>
      <c r="C81" s="13">
        <v>2100</v>
      </c>
      <c r="D81" s="8" t="s">
        <v>589</v>
      </c>
      <c r="E81" s="8" t="s">
        <v>590</v>
      </c>
      <c r="F81" s="8" t="s">
        <v>583</v>
      </c>
      <c r="G81" s="6" t="s">
        <v>52</v>
      </c>
      <c r="H81" s="6" t="s">
        <v>113</v>
      </c>
      <c r="I81" s="8" t="s">
        <v>467</v>
      </c>
      <c r="J81" s="9">
        <v>1</v>
      </c>
      <c r="K81" s="9">
        <v>511</v>
      </c>
      <c r="L81" s="9">
        <v>2023</v>
      </c>
      <c r="M81" s="8" t="s">
        <v>591</v>
      </c>
      <c r="N81" s="8" t="s">
        <v>40</v>
      </c>
      <c r="O81" s="8" t="s">
        <v>41</v>
      </c>
      <c r="P81" s="6" t="s">
        <v>161</v>
      </c>
      <c r="Q81" s="8" t="s">
        <v>485</v>
      </c>
      <c r="R81" s="10" t="s">
        <v>592</v>
      </c>
      <c r="S81" s="11" t="s">
        <v>593</v>
      </c>
      <c r="T81" s="6" t="s">
        <v>117</v>
      </c>
      <c r="U81" s="28" t="str">
        <f>HYPERLINK("https://media.infra-m.ru/1964/1964976/cover/1964976.jpg", "Обложка")</f>
        <v>Обложка</v>
      </c>
      <c r="V81" s="28" t="str">
        <f>HYPERLINK("https://znanium.com/catalog/product/1964976", "Ознакомиться")</f>
        <v>Ознакомиться</v>
      </c>
      <c r="W81" s="8" t="s">
        <v>587</v>
      </c>
      <c r="X81" s="6"/>
      <c r="Y81" s="6"/>
      <c r="Z81" s="6"/>
      <c r="AA81" s="6" t="s">
        <v>226</v>
      </c>
    </row>
    <row r="82" spans="1:27" s="4" customFormat="1" ht="51.95" customHeight="1">
      <c r="A82" s="5">
        <v>0</v>
      </c>
      <c r="B82" s="6" t="s">
        <v>594</v>
      </c>
      <c r="C82" s="7">
        <v>724.9</v>
      </c>
      <c r="D82" s="8" t="s">
        <v>595</v>
      </c>
      <c r="E82" s="8" t="s">
        <v>596</v>
      </c>
      <c r="F82" s="8" t="s">
        <v>597</v>
      </c>
      <c r="G82" s="6" t="s">
        <v>37</v>
      </c>
      <c r="H82" s="6" t="s">
        <v>149</v>
      </c>
      <c r="I82" s="8" t="s">
        <v>54</v>
      </c>
      <c r="J82" s="9">
        <v>1</v>
      </c>
      <c r="K82" s="9">
        <v>160</v>
      </c>
      <c r="L82" s="9">
        <v>2023</v>
      </c>
      <c r="M82" s="8" t="s">
        <v>598</v>
      </c>
      <c r="N82" s="8" t="s">
        <v>40</v>
      </c>
      <c r="O82" s="8" t="s">
        <v>41</v>
      </c>
      <c r="P82" s="6" t="s">
        <v>42</v>
      </c>
      <c r="Q82" s="8" t="s">
        <v>43</v>
      </c>
      <c r="R82" s="10" t="s">
        <v>599</v>
      </c>
      <c r="S82" s="11" t="s">
        <v>600</v>
      </c>
      <c r="T82" s="6"/>
      <c r="U82" s="28" t="str">
        <f>HYPERLINK("https://media.infra-m.ru/1998/1998809/cover/1998809.jpg", "Обложка")</f>
        <v>Обложка</v>
      </c>
      <c r="V82" s="28" t="str">
        <f>HYPERLINK("https://znanium.com/catalog/product/1842559", "Ознакомиться")</f>
        <v>Ознакомиться</v>
      </c>
      <c r="W82" s="8" t="s">
        <v>601</v>
      </c>
      <c r="X82" s="6"/>
      <c r="Y82" s="6"/>
      <c r="Z82" s="6"/>
      <c r="AA82" s="6" t="s">
        <v>89</v>
      </c>
    </row>
    <row r="83" spans="1:27" s="4" customFormat="1" ht="42" customHeight="1">
      <c r="A83" s="5">
        <v>0</v>
      </c>
      <c r="B83" s="6" t="s">
        <v>602</v>
      </c>
      <c r="C83" s="7">
        <v>864</v>
      </c>
      <c r="D83" s="8" t="s">
        <v>603</v>
      </c>
      <c r="E83" s="8" t="s">
        <v>604</v>
      </c>
      <c r="F83" s="8" t="s">
        <v>605</v>
      </c>
      <c r="G83" s="6" t="s">
        <v>52</v>
      </c>
      <c r="H83" s="6" t="s">
        <v>113</v>
      </c>
      <c r="I83" s="8" t="s">
        <v>140</v>
      </c>
      <c r="J83" s="9">
        <v>1</v>
      </c>
      <c r="K83" s="9">
        <v>188</v>
      </c>
      <c r="L83" s="9">
        <v>2024</v>
      </c>
      <c r="M83" s="8" t="s">
        <v>606</v>
      </c>
      <c r="N83" s="8" t="s">
        <v>40</v>
      </c>
      <c r="O83" s="8" t="s">
        <v>41</v>
      </c>
      <c r="P83" s="6" t="s">
        <v>133</v>
      </c>
      <c r="Q83" s="8" t="s">
        <v>125</v>
      </c>
      <c r="R83" s="10" t="s">
        <v>607</v>
      </c>
      <c r="S83" s="11"/>
      <c r="T83" s="6"/>
      <c r="U83" s="28" t="str">
        <f>HYPERLINK("https://media.infra-m.ru/2106/2106196/cover/2106196.jpg", "Обложка")</f>
        <v>Обложка</v>
      </c>
      <c r="V83" s="28" t="str">
        <f>HYPERLINK("https://znanium.com/catalog/product/1896435", "Ознакомиться")</f>
        <v>Ознакомиться</v>
      </c>
      <c r="W83" s="8" t="s">
        <v>143</v>
      </c>
      <c r="X83" s="6"/>
      <c r="Y83" s="6"/>
      <c r="Z83" s="6"/>
      <c r="AA83" s="6" t="s">
        <v>78</v>
      </c>
    </row>
    <row r="84" spans="1:27" s="4" customFormat="1" ht="51.95" customHeight="1">
      <c r="A84" s="5">
        <v>0</v>
      </c>
      <c r="B84" s="6" t="s">
        <v>608</v>
      </c>
      <c r="C84" s="7">
        <v>900</v>
      </c>
      <c r="D84" s="8" t="s">
        <v>609</v>
      </c>
      <c r="E84" s="8" t="s">
        <v>610</v>
      </c>
      <c r="F84" s="8" t="s">
        <v>426</v>
      </c>
      <c r="G84" s="6" t="s">
        <v>37</v>
      </c>
      <c r="H84" s="6" t="s">
        <v>113</v>
      </c>
      <c r="I84" s="8" t="s">
        <v>64</v>
      </c>
      <c r="J84" s="9">
        <v>1</v>
      </c>
      <c r="K84" s="9">
        <v>174</v>
      </c>
      <c r="L84" s="9">
        <v>2022</v>
      </c>
      <c r="M84" s="8" t="s">
        <v>611</v>
      </c>
      <c r="N84" s="8" t="s">
        <v>40</v>
      </c>
      <c r="O84" s="8" t="s">
        <v>41</v>
      </c>
      <c r="P84" s="6" t="s">
        <v>42</v>
      </c>
      <c r="Q84" s="8" t="s">
        <v>66</v>
      </c>
      <c r="R84" s="10" t="s">
        <v>612</v>
      </c>
      <c r="S84" s="11" t="s">
        <v>613</v>
      </c>
      <c r="T84" s="6"/>
      <c r="U84" s="28" t="str">
        <f>HYPERLINK("https://media.infra-m.ru/1020/1020765/cover/1020765.jpg", "Обложка")</f>
        <v>Обложка</v>
      </c>
      <c r="V84" s="28" t="str">
        <f>HYPERLINK("https://znanium.com/catalog/product/1020765", "Ознакомиться")</f>
        <v>Ознакомиться</v>
      </c>
      <c r="W84" s="8" t="s">
        <v>430</v>
      </c>
      <c r="X84" s="6"/>
      <c r="Y84" s="6"/>
      <c r="Z84" s="6" t="s">
        <v>69</v>
      </c>
      <c r="AA84" s="6" t="s">
        <v>356</v>
      </c>
    </row>
    <row r="85" spans="1:27" s="4" customFormat="1" ht="51.95" customHeight="1">
      <c r="A85" s="5">
        <v>0</v>
      </c>
      <c r="B85" s="6" t="s">
        <v>614</v>
      </c>
      <c r="C85" s="13">
        <v>1030</v>
      </c>
      <c r="D85" s="8" t="s">
        <v>615</v>
      </c>
      <c r="E85" s="8" t="s">
        <v>610</v>
      </c>
      <c r="F85" s="8" t="s">
        <v>426</v>
      </c>
      <c r="G85" s="6" t="s">
        <v>52</v>
      </c>
      <c r="H85" s="6" t="s">
        <v>113</v>
      </c>
      <c r="I85" s="8" t="s">
        <v>75</v>
      </c>
      <c r="J85" s="9">
        <v>1</v>
      </c>
      <c r="K85" s="9">
        <v>174</v>
      </c>
      <c r="L85" s="9">
        <v>2023</v>
      </c>
      <c r="M85" s="8" t="s">
        <v>616</v>
      </c>
      <c r="N85" s="8" t="s">
        <v>40</v>
      </c>
      <c r="O85" s="8" t="s">
        <v>41</v>
      </c>
      <c r="P85" s="6" t="s">
        <v>42</v>
      </c>
      <c r="Q85" s="8" t="s">
        <v>43</v>
      </c>
      <c r="R85" s="10" t="s">
        <v>617</v>
      </c>
      <c r="S85" s="11" t="s">
        <v>618</v>
      </c>
      <c r="T85" s="6"/>
      <c r="U85" s="28" t="str">
        <f>HYPERLINK("https://media.infra-m.ru/1902/1902731/cover/1902731.jpg", "Обложка")</f>
        <v>Обложка</v>
      </c>
      <c r="V85" s="28" t="str">
        <f>HYPERLINK("https://znanium.com/catalog/product/1902731", "Ознакомиться")</f>
        <v>Ознакомиться</v>
      </c>
      <c r="W85" s="8" t="s">
        <v>430</v>
      </c>
      <c r="X85" s="6"/>
      <c r="Y85" s="6"/>
      <c r="Z85" s="6"/>
      <c r="AA85" s="6" t="s">
        <v>356</v>
      </c>
    </row>
    <row r="86" spans="1:27" s="4" customFormat="1" ht="51.95" customHeight="1">
      <c r="A86" s="5">
        <v>0</v>
      </c>
      <c r="B86" s="6" t="s">
        <v>619</v>
      </c>
      <c r="C86" s="7">
        <v>770</v>
      </c>
      <c r="D86" s="8" t="s">
        <v>620</v>
      </c>
      <c r="E86" s="8" t="s">
        <v>621</v>
      </c>
      <c r="F86" s="8" t="s">
        <v>426</v>
      </c>
      <c r="G86" s="6" t="s">
        <v>52</v>
      </c>
      <c r="H86" s="6" t="s">
        <v>53</v>
      </c>
      <c r="I86" s="8" t="s">
        <v>75</v>
      </c>
      <c r="J86" s="9">
        <v>1</v>
      </c>
      <c r="K86" s="9">
        <v>184</v>
      </c>
      <c r="L86" s="9">
        <v>2019</v>
      </c>
      <c r="M86" s="8" t="s">
        <v>622</v>
      </c>
      <c r="N86" s="8" t="s">
        <v>40</v>
      </c>
      <c r="O86" s="8" t="s">
        <v>41</v>
      </c>
      <c r="P86" s="6" t="s">
        <v>42</v>
      </c>
      <c r="Q86" s="8" t="s">
        <v>43</v>
      </c>
      <c r="R86" s="10" t="s">
        <v>617</v>
      </c>
      <c r="S86" s="11" t="s">
        <v>623</v>
      </c>
      <c r="T86" s="6"/>
      <c r="U86" s="28" t="str">
        <f>HYPERLINK("https://media.infra-m.ru/0995/0995496/cover/995496.jpg", "Обложка")</f>
        <v>Обложка</v>
      </c>
      <c r="V86" s="28" t="str">
        <f>HYPERLINK("https://znanium.com/catalog/product/1902731", "Ознакомиться")</f>
        <v>Ознакомиться</v>
      </c>
      <c r="W86" s="8" t="s">
        <v>430</v>
      </c>
      <c r="X86" s="6"/>
      <c r="Y86" s="6"/>
      <c r="Z86" s="6"/>
      <c r="AA86" s="6" t="s">
        <v>78</v>
      </c>
    </row>
    <row r="87" spans="1:27" s="4" customFormat="1" ht="51.95" customHeight="1">
      <c r="A87" s="5">
        <v>0</v>
      </c>
      <c r="B87" s="6" t="s">
        <v>624</v>
      </c>
      <c r="C87" s="13">
        <v>2114</v>
      </c>
      <c r="D87" s="8" t="s">
        <v>625</v>
      </c>
      <c r="E87" s="8" t="s">
        <v>626</v>
      </c>
      <c r="F87" s="8" t="s">
        <v>627</v>
      </c>
      <c r="G87" s="6" t="s">
        <v>52</v>
      </c>
      <c r="H87" s="6" t="s">
        <v>113</v>
      </c>
      <c r="I87" s="8" t="s">
        <v>75</v>
      </c>
      <c r="J87" s="9">
        <v>1</v>
      </c>
      <c r="K87" s="9">
        <v>460</v>
      </c>
      <c r="L87" s="9">
        <v>2023</v>
      </c>
      <c r="M87" s="8" t="s">
        <v>628</v>
      </c>
      <c r="N87" s="8" t="s">
        <v>40</v>
      </c>
      <c r="O87" s="8" t="s">
        <v>41</v>
      </c>
      <c r="P87" s="6" t="s">
        <v>161</v>
      </c>
      <c r="Q87" s="8" t="s">
        <v>43</v>
      </c>
      <c r="R87" s="10" t="s">
        <v>629</v>
      </c>
      <c r="S87" s="11" t="s">
        <v>630</v>
      </c>
      <c r="T87" s="6"/>
      <c r="U87" s="28" t="str">
        <f>HYPERLINK("https://media.infra-m.ru/2051/2051474/cover/2051474.jpg", "Обложка")</f>
        <v>Обложка</v>
      </c>
      <c r="V87" s="28" t="str">
        <f>HYPERLINK("https://znanium.com/catalog/product/1818633", "Ознакомиться")</f>
        <v>Ознакомиться</v>
      </c>
      <c r="W87" s="8" t="s">
        <v>631</v>
      </c>
      <c r="X87" s="6"/>
      <c r="Y87" s="6"/>
      <c r="Z87" s="6"/>
      <c r="AA87" s="6" t="s">
        <v>348</v>
      </c>
    </row>
    <row r="88" spans="1:27" s="4" customFormat="1" ht="51.95" customHeight="1">
      <c r="A88" s="5">
        <v>0</v>
      </c>
      <c r="B88" s="6" t="s">
        <v>632</v>
      </c>
      <c r="C88" s="13">
        <v>1704.9</v>
      </c>
      <c r="D88" s="8" t="s">
        <v>633</v>
      </c>
      <c r="E88" s="8" t="s">
        <v>634</v>
      </c>
      <c r="F88" s="8" t="s">
        <v>635</v>
      </c>
      <c r="G88" s="6" t="s">
        <v>37</v>
      </c>
      <c r="H88" s="6" t="s">
        <v>149</v>
      </c>
      <c r="I88" s="8" t="s">
        <v>54</v>
      </c>
      <c r="J88" s="9">
        <v>1</v>
      </c>
      <c r="K88" s="9">
        <v>448</v>
      </c>
      <c r="L88" s="9">
        <v>2022</v>
      </c>
      <c r="M88" s="8" t="s">
        <v>636</v>
      </c>
      <c r="N88" s="8" t="s">
        <v>40</v>
      </c>
      <c r="O88" s="8" t="s">
        <v>41</v>
      </c>
      <c r="P88" s="6" t="s">
        <v>161</v>
      </c>
      <c r="Q88" s="8" t="s">
        <v>43</v>
      </c>
      <c r="R88" s="10" t="s">
        <v>637</v>
      </c>
      <c r="S88" s="11" t="s">
        <v>638</v>
      </c>
      <c r="T88" s="6"/>
      <c r="U88" s="28" t="str">
        <f>HYPERLINK("https://media.infra-m.ru/1832/1832127/cover/1832127.jpg", "Обложка")</f>
        <v>Обложка</v>
      </c>
      <c r="V88" s="28" t="str">
        <f>HYPERLINK("https://znanium.com/catalog/product/1832127", "Ознакомиться")</f>
        <v>Ознакомиться</v>
      </c>
      <c r="W88" s="8" t="s">
        <v>304</v>
      </c>
      <c r="X88" s="6"/>
      <c r="Y88" s="6"/>
      <c r="Z88" s="6"/>
      <c r="AA88" s="6" t="s">
        <v>639</v>
      </c>
    </row>
    <row r="89" spans="1:27" s="4" customFormat="1" ht="51.95" customHeight="1">
      <c r="A89" s="5">
        <v>0</v>
      </c>
      <c r="B89" s="6" t="s">
        <v>640</v>
      </c>
      <c r="C89" s="7">
        <v>604</v>
      </c>
      <c r="D89" s="8" t="s">
        <v>641</v>
      </c>
      <c r="E89" s="8" t="s">
        <v>642</v>
      </c>
      <c r="F89" s="8" t="s">
        <v>643</v>
      </c>
      <c r="G89" s="6" t="s">
        <v>52</v>
      </c>
      <c r="H89" s="6" t="s">
        <v>83</v>
      </c>
      <c r="I89" s="8" t="s">
        <v>84</v>
      </c>
      <c r="J89" s="9">
        <v>1</v>
      </c>
      <c r="K89" s="9">
        <v>124</v>
      </c>
      <c r="L89" s="9">
        <v>2024</v>
      </c>
      <c r="M89" s="8" t="s">
        <v>644</v>
      </c>
      <c r="N89" s="8" t="s">
        <v>40</v>
      </c>
      <c r="O89" s="8" t="s">
        <v>41</v>
      </c>
      <c r="P89" s="6" t="s">
        <v>42</v>
      </c>
      <c r="Q89" s="8" t="s">
        <v>66</v>
      </c>
      <c r="R89" s="10" t="s">
        <v>645</v>
      </c>
      <c r="S89" s="11" t="s">
        <v>646</v>
      </c>
      <c r="T89" s="6"/>
      <c r="U89" s="28" t="str">
        <f>HYPERLINK("https://media.infra-m.ru/2107/2107303/cover/2107303.jpg", "Обложка")</f>
        <v>Обложка</v>
      </c>
      <c r="V89" s="28" t="str">
        <f>HYPERLINK("https://znanium.com/catalog/product/1229451", "Ознакомиться")</f>
        <v>Ознакомиться</v>
      </c>
      <c r="W89" s="8" t="s">
        <v>647</v>
      </c>
      <c r="X89" s="6"/>
      <c r="Y89" s="6"/>
      <c r="Z89" s="6"/>
      <c r="AA89" s="6" t="s">
        <v>47</v>
      </c>
    </row>
    <row r="90" spans="1:27" s="4" customFormat="1" ht="51.95" customHeight="1">
      <c r="A90" s="5">
        <v>0</v>
      </c>
      <c r="B90" s="6" t="s">
        <v>648</v>
      </c>
      <c r="C90" s="13">
        <v>1144</v>
      </c>
      <c r="D90" s="8" t="s">
        <v>649</v>
      </c>
      <c r="E90" s="8" t="s">
        <v>650</v>
      </c>
      <c r="F90" s="8" t="s">
        <v>651</v>
      </c>
      <c r="G90" s="6" t="s">
        <v>52</v>
      </c>
      <c r="H90" s="6" t="s">
        <v>113</v>
      </c>
      <c r="I90" s="8" t="s">
        <v>64</v>
      </c>
      <c r="J90" s="9">
        <v>1</v>
      </c>
      <c r="K90" s="9">
        <v>247</v>
      </c>
      <c r="L90" s="9">
        <v>2024</v>
      </c>
      <c r="M90" s="8" t="s">
        <v>652</v>
      </c>
      <c r="N90" s="8" t="s">
        <v>40</v>
      </c>
      <c r="O90" s="8" t="s">
        <v>41</v>
      </c>
      <c r="P90" s="6" t="s">
        <v>42</v>
      </c>
      <c r="Q90" s="8" t="s">
        <v>66</v>
      </c>
      <c r="R90" s="10" t="s">
        <v>653</v>
      </c>
      <c r="S90" s="11" t="s">
        <v>654</v>
      </c>
      <c r="T90" s="6"/>
      <c r="U90" s="28" t="str">
        <f>HYPERLINK("https://media.infra-m.ru/2107/2107402/cover/2107402.jpg", "Обложка")</f>
        <v>Обложка</v>
      </c>
      <c r="V90" s="28" t="str">
        <f>HYPERLINK("https://znanium.com/catalog/product/995608", "Ознакомиться")</f>
        <v>Ознакомиться</v>
      </c>
      <c r="W90" s="8" t="s">
        <v>655</v>
      </c>
      <c r="X90" s="6"/>
      <c r="Y90" s="6"/>
      <c r="Z90" s="6"/>
      <c r="AA90" s="6" t="s">
        <v>275</v>
      </c>
    </row>
    <row r="91" spans="1:27" s="4" customFormat="1" ht="51.95" customHeight="1">
      <c r="A91" s="5">
        <v>0</v>
      </c>
      <c r="B91" s="6" t="s">
        <v>656</v>
      </c>
      <c r="C91" s="7">
        <v>890</v>
      </c>
      <c r="D91" s="8" t="s">
        <v>657</v>
      </c>
      <c r="E91" s="8" t="s">
        <v>658</v>
      </c>
      <c r="F91" s="8" t="s">
        <v>659</v>
      </c>
      <c r="G91" s="6" t="s">
        <v>52</v>
      </c>
      <c r="H91" s="6" t="s">
        <v>113</v>
      </c>
      <c r="I91" s="8" t="s">
        <v>75</v>
      </c>
      <c r="J91" s="9">
        <v>1</v>
      </c>
      <c r="K91" s="9">
        <v>196</v>
      </c>
      <c r="L91" s="9">
        <v>2023</v>
      </c>
      <c r="M91" s="8" t="s">
        <v>660</v>
      </c>
      <c r="N91" s="8" t="s">
        <v>40</v>
      </c>
      <c r="O91" s="8" t="s">
        <v>41</v>
      </c>
      <c r="P91" s="6" t="s">
        <v>42</v>
      </c>
      <c r="Q91" s="8" t="s">
        <v>43</v>
      </c>
      <c r="R91" s="10" t="s">
        <v>661</v>
      </c>
      <c r="S91" s="11" t="s">
        <v>662</v>
      </c>
      <c r="T91" s="6" t="s">
        <v>117</v>
      </c>
      <c r="U91" s="28" t="str">
        <f>HYPERLINK("https://media.infra-m.ru/1939/1939086/cover/1939086.jpg", "Обложка")</f>
        <v>Обложка</v>
      </c>
      <c r="V91" s="28" t="str">
        <f>HYPERLINK("https://znanium.com/catalog/product/1939086", "Ознакомиться")</f>
        <v>Ознакомиться</v>
      </c>
      <c r="W91" s="8" t="s">
        <v>304</v>
      </c>
      <c r="X91" s="6"/>
      <c r="Y91" s="6"/>
      <c r="Z91" s="6"/>
      <c r="AA91" s="6" t="s">
        <v>78</v>
      </c>
    </row>
    <row r="92" spans="1:27" s="4" customFormat="1" ht="42" customHeight="1">
      <c r="A92" s="5">
        <v>0</v>
      </c>
      <c r="B92" s="6" t="s">
        <v>663</v>
      </c>
      <c r="C92" s="13">
        <v>2444.9</v>
      </c>
      <c r="D92" s="8" t="s">
        <v>664</v>
      </c>
      <c r="E92" s="8" t="s">
        <v>665</v>
      </c>
      <c r="F92" s="8" t="s">
        <v>451</v>
      </c>
      <c r="G92" s="6" t="s">
        <v>52</v>
      </c>
      <c r="H92" s="6" t="s">
        <v>149</v>
      </c>
      <c r="I92" s="8" t="s">
        <v>75</v>
      </c>
      <c r="J92" s="9">
        <v>1</v>
      </c>
      <c r="K92" s="9">
        <v>542</v>
      </c>
      <c r="L92" s="9">
        <v>2023</v>
      </c>
      <c r="M92" s="8" t="s">
        <v>666</v>
      </c>
      <c r="N92" s="8" t="s">
        <v>40</v>
      </c>
      <c r="O92" s="8" t="s">
        <v>41</v>
      </c>
      <c r="P92" s="6" t="s">
        <v>161</v>
      </c>
      <c r="Q92" s="8" t="s">
        <v>43</v>
      </c>
      <c r="R92" s="10" t="s">
        <v>667</v>
      </c>
      <c r="S92" s="11"/>
      <c r="T92" s="6"/>
      <c r="U92" s="28" t="str">
        <f>HYPERLINK("https://media.infra-m.ru/1959/1959262/cover/1959262.jpg", "Обложка")</f>
        <v>Обложка</v>
      </c>
      <c r="V92" s="28" t="str">
        <f>HYPERLINK("https://znanium.com/catalog/product/1944419", "Ознакомиться")</f>
        <v>Ознакомиться</v>
      </c>
      <c r="W92" s="8"/>
      <c r="X92" s="6"/>
      <c r="Y92" s="6"/>
      <c r="Z92" s="6" t="s">
        <v>668</v>
      </c>
      <c r="AA92" s="6" t="s">
        <v>144</v>
      </c>
    </row>
    <row r="93" spans="1:27" s="4" customFormat="1" ht="51.95" customHeight="1">
      <c r="A93" s="5">
        <v>0</v>
      </c>
      <c r="B93" s="6" t="s">
        <v>669</v>
      </c>
      <c r="C93" s="13">
        <v>2440</v>
      </c>
      <c r="D93" s="8" t="s">
        <v>670</v>
      </c>
      <c r="E93" s="8" t="s">
        <v>665</v>
      </c>
      <c r="F93" s="8" t="s">
        <v>451</v>
      </c>
      <c r="G93" s="6" t="s">
        <v>52</v>
      </c>
      <c r="H93" s="6" t="s">
        <v>149</v>
      </c>
      <c r="I93" s="8" t="s">
        <v>64</v>
      </c>
      <c r="J93" s="9">
        <v>1</v>
      </c>
      <c r="K93" s="9">
        <v>542</v>
      </c>
      <c r="L93" s="9">
        <v>2023</v>
      </c>
      <c r="M93" s="8" t="s">
        <v>671</v>
      </c>
      <c r="N93" s="8" t="s">
        <v>40</v>
      </c>
      <c r="O93" s="8" t="s">
        <v>41</v>
      </c>
      <c r="P93" s="6" t="s">
        <v>161</v>
      </c>
      <c r="Q93" s="8" t="s">
        <v>66</v>
      </c>
      <c r="R93" s="10" t="s">
        <v>672</v>
      </c>
      <c r="S93" s="11" t="s">
        <v>673</v>
      </c>
      <c r="T93" s="6"/>
      <c r="U93" s="28" t="str">
        <f>HYPERLINK("https://media.infra-m.ru/1922/1922266/cover/1922266.jpg", "Обложка")</f>
        <v>Обложка</v>
      </c>
      <c r="V93" s="28" t="str">
        <f>HYPERLINK("https://znanium.com/catalog/product/1922266", "Ознакомиться")</f>
        <v>Ознакомиться</v>
      </c>
      <c r="W93" s="8"/>
      <c r="X93" s="6"/>
      <c r="Y93" s="6"/>
      <c r="Z93" s="6"/>
      <c r="AA93" s="6" t="s">
        <v>363</v>
      </c>
    </row>
    <row r="94" spans="1:27" s="4" customFormat="1" ht="42" customHeight="1">
      <c r="A94" s="5">
        <v>0</v>
      </c>
      <c r="B94" s="6" t="s">
        <v>674</v>
      </c>
      <c r="C94" s="13">
        <v>1404.9</v>
      </c>
      <c r="D94" s="8" t="s">
        <v>675</v>
      </c>
      <c r="E94" s="8" t="s">
        <v>676</v>
      </c>
      <c r="F94" s="8" t="s">
        <v>677</v>
      </c>
      <c r="G94" s="6" t="s">
        <v>37</v>
      </c>
      <c r="H94" s="6" t="s">
        <v>149</v>
      </c>
      <c r="I94" s="8" t="s">
        <v>54</v>
      </c>
      <c r="J94" s="9">
        <v>1</v>
      </c>
      <c r="K94" s="9">
        <v>480</v>
      </c>
      <c r="L94" s="9">
        <v>2018</v>
      </c>
      <c r="M94" s="8" t="s">
        <v>678</v>
      </c>
      <c r="N94" s="8" t="s">
        <v>40</v>
      </c>
      <c r="O94" s="8" t="s">
        <v>41</v>
      </c>
      <c r="P94" s="6" t="s">
        <v>42</v>
      </c>
      <c r="Q94" s="8" t="s">
        <v>43</v>
      </c>
      <c r="R94" s="10" t="s">
        <v>679</v>
      </c>
      <c r="S94" s="11"/>
      <c r="T94" s="6"/>
      <c r="U94" s="28" t="str">
        <f>HYPERLINK("https://media.infra-m.ru/0914/0914260/cover/914260.jpg", "Обложка")</f>
        <v>Обложка</v>
      </c>
      <c r="V94" s="28" t="str">
        <f>HYPERLINK("https://znanium.com/catalog/product/1200564", "Ознакомиться")</f>
        <v>Ознакомиться</v>
      </c>
      <c r="W94" s="8" t="s">
        <v>204</v>
      </c>
      <c r="X94" s="6"/>
      <c r="Y94" s="6" t="s">
        <v>30</v>
      </c>
      <c r="Z94" s="6"/>
      <c r="AA94" s="6" t="s">
        <v>363</v>
      </c>
    </row>
    <row r="95" spans="1:27" s="4" customFormat="1" ht="42" customHeight="1">
      <c r="A95" s="5">
        <v>0</v>
      </c>
      <c r="B95" s="6" t="s">
        <v>680</v>
      </c>
      <c r="C95" s="13">
        <v>1700</v>
      </c>
      <c r="D95" s="8" t="s">
        <v>681</v>
      </c>
      <c r="E95" s="8" t="s">
        <v>682</v>
      </c>
      <c r="F95" s="8" t="s">
        <v>683</v>
      </c>
      <c r="G95" s="6" t="s">
        <v>37</v>
      </c>
      <c r="H95" s="6" t="s">
        <v>113</v>
      </c>
      <c r="I95" s="8" t="s">
        <v>64</v>
      </c>
      <c r="J95" s="9">
        <v>1</v>
      </c>
      <c r="K95" s="9">
        <v>363</v>
      </c>
      <c r="L95" s="9">
        <v>2023</v>
      </c>
      <c r="M95" s="8" t="s">
        <v>684</v>
      </c>
      <c r="N95" s="8" t="s">
        <v>40</v>
      </c>
      <c r="O95" s="8" t="s">
        <v>41</v>
      </c>
      <c r="P95" s="6" t="s">
        <v>42</v>
      </c>
      <c r="Q95" s="8" t="s">
        <v>66</v>
      </c>
      <c r="R95" s="10" t="s">
        <v>685</v>
      </c>
      <c r="S95" s="11"/>
      <c r="T95" s="6"/>
      <c r="U95" s="28" t="str">
        <f>HYPERLINK("https://media.infra-m.ru/1867/1867576/cover/1867576.jpg", "Обложка")</f>
        <v>Обложка</v>
      </c>
      <c r="V95" s="28" t="str">
        <f>HYPERLINK("https://znanium.com/catalog/product/1867576", "Ознакомиться")</f>
        <v>Ознакомиться</v>
      </c>
      <c r="W95" s="8" t="s">
        <v>686</v>
      </c>
      <c r="X95" s="6" t="s">
        <v>381</v>
      </c>
      <c r="Y95" s="6"/>
      <c r="Z95" s="6"/>
      <c r="AA95" s="6" t="s">
        <v>687</v>
      </c>
    </row>
    <row r="96" spans="1:27" s="4" customFormat="1" ht="51.95" customHeight="1">
      <c r="A96" s="5">
        <v>0</v>
      </c>
      <c r="B96" s="6" t="s">
        <v>688</v>
      </c>
      <c r="C96" s="13">
        <v>2374</v>
      </c>
      <c r="D96" s="8" t="s">
        <v>689</v>
      </c>
      <c r="E96" s="8" t="s">
        <v>676</v>
      </c>
      <c r="F96" s="8" t="s">
        <v>690</v>
      </c>
      <c r="G96" s="6" t="s">
        <v>37</v>
      </c>
      <c r="H96" s="6" t="s">
        <v>113</v>
      </c>
      <c r="I96" s="8" t="s">
        <v>75</v>
      </c>
      <c r="J96" s="9">
        <v>1</v>
      </c>
      <c r="K96" s="9">
        <v>522</v>
      </c>
      <c r="L96" s="9">
        <v>2024</v>
      </c>
      <c r="M96" s="8" t="s">
        <v>691</v>
      </c>
      <c r="N96" s="8" t="s">
        <v>40</v>
      </c>
      <c r="O96" s="8" t="s">
        <v>41</v>
      </c>
      <c r="P96" s="6" t="s">
        <v>161</v>
      </c>
      <c r="Q96" s="8" t="s">
        <v>43</v>
      </c>
      <c r="R96" s="10" t="s">
        <v>692</v>
      </c>
      <c r="S96" s="11" t="s">
        <v>693</v>
      </c>
      <c r="T96" s="6"/>
      <c r="U96" s="28" t="str">
        <f>HYPERLINK("https://media.infra-m.ru/2089/2089373/cover/2089373.jpg", "Обложка")</f>
        <v>Обложка</v>
      </c>
      <c r="V96" s="28" t="str">
        <f>HYPERLINK("https://znanium.com/catalog/product/1853592", "Ознакомиться")</f>
        <v>Ознакомиться</v>
      </c>
      <c r="W96" s="8" t="s">
        <v>694</v>
      </c>
      <c r="X96" s="6"/>
      <c r="Y96" s="6"/>
      <c r="Z96" s="6"/>
      <c r="AA96" s="6" t="s">
        <v>245</v>
      </c>
    </row>
    <row r="97" spans="1:27" s="4" customFormat="1" ht="51.95" customHeight="1">
      <c r="A97" s="5">
        <v>0</v>
      </c>
      <c r="B97" s="6" t="s">
        <v>695</v>
      </c>
      <c r="C97" s="13">
        <v>1724.9</v>
      </c>
      <c r="D97" s="8" t="s">
        <v>696</v>
      </c>
      <c r="E97" s="8" t="s">
        <v>697</v>
      </c>
      <c r="F97" s="8" t="s">
        <v>698</v>
      </c>
      <c r="G97" s="6" t="s">
        <v>52</v>
      </c>
      <c r="H97" s="6" t="s">
        <v>149</v>
      </c>
      <c r="I97" s="8" t="s">
        <v>64</v>
      </c>
      <c r="J97" s="9">
        <v>1</v>
      </c>
      <c r="K97" s="9">
        <v>384</v>
      </c>
      <c r="L97" s="9">
        <v>2022</v>
      </c>
      <c r="M97" s="8" t="s">
        <v>699</v>
      </c>
      <c r="N97" s="8" t="s">
        <v>40</v>
      </c>
      <c r="O97" s="8" t="s">
        <v>41</v>
      </c>
      <c r="P97" s="6" t="s">
        <v>161</v>
      </c>
      <c r="Q97" s="8" t="s">
        <v>66</v>
      </c>
      <c r="R97" s="10" t="s">
        <v>700</v>
      </c>
      <c r="S97" s="11" t="s">
        <v>701</v>
      </c>
      <c r="T97" s="6"/>
      <c r="U97" s="28" t="str">
        <f>HYPERLINK("https://media.infra-m.ru/1903/1903819/cover/1903819.jpg", "Обложка")</f>
        <v>Обложка</v>
      </c>
      <c r="V97" s="28" t="str">
        <f>HYPERLINK("https://znanium.com/catalog/product/1583669", "Ознакомиться")</f>
        <v>Ознакомиться</v>
      </c>
      <c r="W97" s="8"/>
      <c r="X97" s="6"/>
      <c r="Y97" s="6"/>
      <c r="Z97" s="6"/>
      <c r="AA97" s="6" t="s">
        <v>702</v>
      </c>
    </row>
    <row r="98" spans="1:27" s="4" customFormat="1" ht="51.95" customHeight="1">
      <c r="A98" s="5">
        <v>0</v>
      </c>
      <c r="B98" s="6" t="s">
        <v>703</v>
      </c>
      <c r="C98" s="13">
        <v>2550</v>
      </c>
      <c r="D98" s="8" t="s">
        <v>704</v>
      </c>
      <c r="E98" s="8" t="s">
        <v>697</v>
      </c>
      <c r="F98" s="8" t="s">
        <v>426</v>
      </c>
      <c r="G98" s="6" t="s">
        <v>37</v>
      </c>
      <c r="H98" s="6" t="s">
        <v>113</v>
      </c>
      <c r="I98" s="8" t="s">
        <v>54</v>
      </c>
      <c r="J98" s="9">
        <v>1</v>
      </c>
      <c r="K98" s="9">
        <v>566</v>
      </c>
      <c r="L98" s="9">
        <v>2023</v>
      </c>
      <c r="M98" s="8" t="s">
        <v>705</v>
      </c>
      <c r="N98" s="8" t="s">
        <v>40</v>
      </c>
      <c r="O98" s="8" t="s">
        <v>41</v>
      </c>
      <c r="P98" s="6" t="s">
        <v>161</v>
      </c>
      <c r="Q98" s="8" t="s">
        <v>379</v>
      </c>
      <c r="R98" s="10" t="s">
        <v>706</v>
      </c>
      <c r="S98" s="11" t="s">
        <v>707</v>
      </c>
      <c r="T98" s="6"/>
      <c r="U98" s="28" t="str">
        <f>HYPERLINK("https://media.infra-m.ru/1916/1916405/cover/1916405.jpg", "Обложка")</f>
        <v>Обложка</v>
      </c>
      <c r="V98" s="28" t="str">
        <f>HYPERLINK("https://znanium.com/catalog/product/1916405", "Ознакомиться")</f>
        <v>Ознакомиться</v>
      </c>
      <c r="W98" s="8" t="s">
        <v>430</v>
      </c>
      <c r="X98" s="6"/>
      <c r="Y98" s="6" t="s">
        <v>30</v>
      </c>
      <c r="Z98" s="6"/>
      <c r="AA98" s="6" t="s">
        <v>59</v>
      </c>
    </row>
    <row r="99" spans="1:27" s="4" customFormat="1" ht="51.95" customHeight="1">
      <c r="A99" s="5">
        <v>0</v>
      </c>
      <c r="B99" s="6" t="s">
        <v>708</v>
      </c>
      <c r="C99" s="13">
        <v>2604</v>
      </c>
      <c r="D99" s="8" t="s">
        <v>709</v>
      </c>
      <c r="E99" s="8" t="s">
        <v>697</v>
      </c>
      <c r="F99" s="8" t="s">
        <v>426</v>
      </c>
      <c r="G99" s="6" t="s">
        <v>37</v>
      </c>
      <c r="H99" s="6" t="s">
        <v>113</v>
      </c>
      <c r="I99" s="8" t="s">
        <v>64</v>
      </c>
      <c r="J99" s="9">
        <v>1</v>
      </c>
      <c r="K99" s="9">
        <v>566</v>
      </c>
      <c r="L99" s="9">
        <v>2024</v>
      </c>
      <c r="M99" s="8" t="s">
        <v>710</v>
      </c>
      <c r="N99" s="8" t="s">
        <v>40</v>
      </c>
      <c r="O99" s="8" t="s">
        <v>41</v>
      </c>
      <c r="P99" s="6" t="s">
        <v>161</v>
      </c>
      <c r="Q99" s="8" t="s">
        <v>66</v>
      </c>
      <c r="R99" s="10" t="s">
        <v>711</v>
      </c>
      <c r="S99" s="11" t="s">
        <v>712</v>
      </c>
      <c r="T99" s="6"/>
      <c r="U99" s="28" t="str">
        <f>HYPERLINK("https://media.infra-m.ru/2113/2113868/cover/2113868.jpg", "Обложка")</f>
        <v>Обложка</v>
      </c>
      <c r="V99" s="28" t="str">
        <f>HYPERLINK("https://znanium.com/catalog/product/1915623", "Ознакомиться")</f>
        <v>Ознакомиться</v>
      </c>
      <c r="W99" s="8" t="s">
        <v>430</v>
      </c>
      <c r="X99" s="6"/>
      <c r="Y99" s="6"/>
      <c r="Z99" s="6" t="s">
        <v>713</v>
      </c>
      <c r="AA99" s="6" t="s">
        <v>59</v>
      </c>
    </row>
    <row r="100" spans="1:27" s="4" customFormat="1" ht="51.95" customHeight="1">
      <c r="A100" s="5">
        <v>0</v>
      </c>
      <c r="B100" s="6" t="s">
        <v>714</v>
      </c>
      <c r="C100" s="13">
        <v>1484.9</v>
      </c>
      <c r="D100" s="8" t="s">
        <v>715</v>
      </c>
      <c r="E100" s="8" t="s">
        <v>676</v>
      </c>
      <c r="F100" s="8" t="s">
        <v>426</v>
      </c>
      <c r="G100" s="6" t="s">
        <v>52</v>
      </c>
      <c r="H100" s="6" t="s">
        <v>53</v>
      </c>
      <c r="I100" s="8" t="s">
        <v>75</v>
      </c>
      <c r="J100" s="9">
        <v>1</v>
      </c>
      <c r="K100" s="9">
        <v>463</v>
      </c>
      <c r="L100" s="9">
        <v>2018</v>
      </c>
      <c r="M100" s="8" t="s">
        <v>716</v>
      </c>
      <c r="N100" s="8" t="s">
        <v>40</v>
      </c>
      <c r="O100" s="8" t="s">
        <v>41</v>
      </c>
      <c r="P100" s="6" t="s">
        <v>161</v>
      </c>
      <c r="Q100" s="8" t="s">
        <v>43</v>
      </c>
      <c r="R100" s="10" t="s">
        <v>706</v>
      </c>
      <c r="S100" s="11" t="s">
        <v>717</v>
      </c>
      <c r="T100" s="6"/>
      <c r="U100" s="28" t="str">
        <f>HYPERLINK("https://media.infra-m.ru/1010/1010143/cover/1010143.jpg", "Обложка")</f>
        <v>Обложка</v>
      </c>
      <c r="V100" s="28" t="str">
        <f>HYPERLINK("https://znanium.com/catalog/product/1916405", "Ознакомиться")</f>
        <v>Ознакомиться</v>
      </c>
      <c r="W100" s="8" t="s">
        <v>430</v>
      </c>
      <c r="X100" s="6"/>
      <c r="Y100" s="6" t="s">
        <v>30</v>
      </c>
      <c r="Z100" s="6"/>
      <c r="AA100" s="6" t="s">
        <v>47</v>
      </c>
    </row>
    <row r="101" spans="1:27" s="4" customFormat="1" ht="51.95" customHeight="1">
      <c r="A101" s="5">
        <v>0</v>
      </c>
      <c r="B101" s="6" t="s">
        <v>718</v>
      </c>
      <c r="C101" s="13">
        <v>1994</v>
      </c>
      <c r="D101" s="8" t="s">
        <v>719</v>
      </c>
      <c r="E101" s="8" t="s">
        <v>697</v>
      </c>
      <c r="F101" s="8" t="s">
        <v>720</v>
      </c>
      <c r="G101" s="6" t="s">
        <v>52</v>
      </c>
      <c r="H101" s="6" t="s">
        <v>113</v>
      </c>
      <c r="I101" s="8" t="s">
        <v>75</v>
      </c>
      <c r="J101" s="9">
        <v>1</v>
      </c>
      <c r="K101" s="9">
        <v>453</v>
      </c>
      <c r="L101" s="9">
        <v>2024</v>
      </c>
      <c r="M101" s="8" t="s">
        <v>721</v>
      </c>
      <c r="N101" s="8" t="s">
        <v>40</v>
      </c>
      <c r="O101" s="8" t="s">
        <v>41</v>
      </c>
      <c r="P101" s="6" t="s">
        <v>42</v>
      </c>
      <c r="Q101" s="8" t="s">
        <v>43</v>
      </c>
      <c r="R101" s="10" t="s">
        <v>679</v>
      </c>
      <c r="S101" s="11" t="s">
        <v>722</v>
      </c>
      <c r="T101" s="6"/>
      <c r="U101" s="28" t="str">
        <f>HYPERLINK("https://media.infra-m.ru/2079/2079161/cover/2079161.jpg", "Обложка")</f>
        <v>Обложка</v>
      </c>
      <c r="V101" s="28" t="str">
        <f>HYPERLINK("https://znanium.com/catalog/product/1200564", "Ознакомиться")</f>
        <v>Ознакомиться</v>
      </c>
      <c r="W101" s="8" t="s">
        <v>204</v>
      </c>
      <c r="X101" s="6"/>
      <c r="Y101" s="6" t="s">
        <v>30</v>
      </c>
      <c r="Z101" s="6"/>
      <c r="AA101" s="6" t="s">
        <v>356</v>
      </c>
    </row>
    <row r="102" spans="1:27" s="4" customFormat="1" ht="33" customHeight="1">
      <c r="A102" s="5">
        <v>0</v>
      </c>
      <c r="B102" s="6" t="s">
        <v>723</v>
      </c>
      <c r="C102" s="7">
        <v>74.900000000000006</v>
      </c>
      <c r="D102" s="8" t="s">
        <v>724</v>
      </c>
      <c r="E102" s="8" t="s">
        <v>676</v>
      </c>
      <c r="F102" s="8"/>
      <c r="G102" s="6" t="s">
        <v>74</v>
      </c>
      <c r="H102" s="6" t="s">
        <v>83</v>
      </c>
      <c r="I102" s="8" t="s">
        <v>725</v>
      </c>
      <c r="J102" s="9">
        <v>1</v>
      </c>
      <c r="K102" s="9">
        <v>113</v>
      </c>
      <c r="L102" s="9">
        <v>2017</v>
      </c>
      <c r="M102" s="8" t="s">
        <v>726</v>
      </c>
      <c r="N102" s="8" t="s">
        <v>40</v>
      </c>
      <c r="O102" s="8" t="s">
        <v>41</v>
      </c>
      <c r="P102" s="6" t="s">
        <v>727</v>
      </c>
      <c r="Q102" s="8" t="s">
        <v>43</v>
      </c>
      <c r="R102" s="10" t="s">
        <v>728</v>
      </c>
      <c r="S102" s="11"/>
      <c r="T102" s="6"/>
      <c r="U102" s="12"/>
      <c r="V102" s="28" t="str">
        <f>HYPERLINK("https://znanium.com/catalog/product/614903", "Ознакомиться")</f>
        <v>Ознакомиться</v>
      </c>
      <c r="W102" s="8"/>
      <c r="X102" s="6"/>
      <c r="Y102" s="6"/>
      <c r="Z102" s="6"/>
      <c r="AA102" s="6" t="s">
        <v>153</v>
      </c>
    </row>
    <row r="103" spans="1:27" s="4" customFormat="1" ht="51.95" customHeight="1">
      <c r="A103" s="5">
        <v>0</v>
      </c>
      <c r="B103" s="6" t="s">
        <v>729</v>
      </c>
      <c r="C103" s="13">
        <v>1554</v>
      </c>
      <c r="D103" s="8" t="s">
        <v>730</v>
      </c>
      <c r="E103" s="8" t="s">
        <v>731</v>
      </c>
      <c r="F103" s="8" t="s">
        <v>139</v>
      </c>
      <c r="G103" s="6" t="s">
        <v>52</v>
      </c>
      <c r="H103" s="6" t="s">
        <v>83</v>
      </c>
      <c r="I103" s="8" t="s">
        <v>84</v>
      </c>
      <c r="J103" s="9">
        <v>1</v>
      </c>
      <c r="K103" s="9">
        <v>336</v>
      </c>
      <c r="L103" s="9">
        <v>2024</v>
      </c>
      <c r="M103" s="8" t="s">
        <v>732</v>
      </c>
      <c r="N103" s="8" t="s">
        <v>40</v>
      </c>
      <c r="O103" s="8" t="s">
        <v>41</v>
      </c>
      <c r="P103" s="6" t="s">
        <v>42</v>
      </c>
      <c r="Q103" s="8" t="s">
        <v>43</v>
      </c>
      <c r="R103" s="10" t="s">
        <v>733</v>
      </c>
      <c r="S103" s="11" t="s">
        <v>734</v>
      </c>
      <c r="T103" s="6"/>
      <c r="U103" s="28" t="str">
        <f>HYPERLINK("https://media.infra-m.ru/2082/2082744/cover/2082744.jpg", "Обложка")</f>
        <v>Обложка</v>
      </c>
      <c r="V103" s="28" t="str">
        <f>HYPERLINK("https://znanium.com/catalog/product/1861657", "Ознакомиться")</f>
        <v>Ознакомиться</v>
      </c>
      <c r="W103" s="8" t="s">
        <v>143</v>
      </c>
      <c r="X103" s="6"/>
      <c r="Y103" s="6"/>
      <c r="Z103" s="6"/>
      <c r="AA103" s="6" t="s">
        <v>735</v>
      </c>
    </row>
    <row r="104" spans="1:27" s="4" customFormat="1" ht="44.1" customHeight="1">
      <c r="A104" s="5">
        <v>0</v>
      </c>
      <c r="B104" s="6" t="s">
        <v>736</v>
      </c>
      <c r="C104" s="7">
        <v>830</v>
      </c>
      <c r="D104" s="8" t="s">
        <v>737</v>
      </c>
      <c r="E104" s="8" t="s">
        <v>738</v>
      </c>
      <c r="F104" s="8" t="s">
        <v>739</v>
      </c>
      <c r="G104" s="6" t="s">
        <v>74</v>
      </c>
      <c r="H104" s="6" t="s">
        <v>113</v>
      </c>
      <c r="I104" s="8" t="s">
        <v>140</v>
      </c>
      <c r="J104" s="9">
        <v>1</v>
      </c>
      <c r="K104" s="9">
        <v>180</v>
      </c>
      <c r="L104" s="9">
        <v>2024</v>
      </c>
      <c r="M104" s="8" t="s">
        <v>740</v>
      </c>
      <c r="N104" s="8" t="s">
        <v>40</v>
      </c>
      <c r="O104" s="8" t="s">
        <v>41</v>
      </c>
      <c r="P104" s="6" t="s">
        <v>133</v>
      </c>
      <c r="Q104" s="8" t="s">
        <v>125</v>
      </c>
      <c r="R104" s="10" t="s">
        <v>741</v>
      </c>
      <c r="S104" s="11"/>
      <c r="T104" s="6"/>
      <c r="U104" s="28" t="str">
        <f>HYPERLINK("https://media.infra-m.ru/2052/2052391/cover/2052391.jpg", "Обложка")</f>
        <v>Обложка</v>
      </c>
      <c r="V104" s="28" t="str">
        <f>HYPERLINK("https://znanium.com/catalog/product/2052391", "Ознакомиться")</f>
        <v>Ознакомиться</v>
      </c>
      <c r="W104" s="8" t="s">
        <v>742</v>
      </c>
      <c r="X104" s="6"/>
      <c r="Y104" s="6"/>
      <c r="Z104" s="6"/>
      <c r="AA104" s="6" t="s">
        <v>253</v>
      </c>
    </row>
    <row r="105" spans="1:27" s="4" customFormat="1" ht="51.95" customHeight="1">
      <c r="A105" s="5">
        <v>0</v>
      </c>
      <c r="B105" s="6" t="s">
        <v>743</v>
      </c>
      <c r="C105" s="13">
        <v>1900</v>
      </c>
      <c r="D105" s="8" t="s">
        <v>744</v>
      </c>
      <c r="E105" s="8" t="s">
        <v>745</v>
      </c>
      <c r="F105" s="8" t="s">
        <v>746</v>
      </c>
      <c r="G105" s="6" t="s">
        <v>37</v>
      </c>
      <c r="H105" s="6" t="s">
        <v>149</v>
      </c>
      <c r="I105" s="8" t="s">
        <v>64</v>
      </c>
      <c r="J105" s="9">
        <v>1</v>
      </c>
      <c r="K105" s="9">
        <v>416</v>
      </c>
      <c r="L105" s="9">
        <v>2023</v>
      </c>
      <c r="M105" s="8" t="s">
        <v>747</v>
      </c>
      <c r="N105" s="8" t="s">
        <v>40</v>
      </c>
      <c r="O105" s="8" t="s">
        <v>41</v>
      </c>
      <c r="P105" s="6" t="s">
        <v>42</v>
      </c>
      <c r="Q105" s="8" t="s">
        <v>66</v>
      </c>
      <c r="R105" s="10" t="s">
        <v>748</v>
      </c>
      <c r="S105" s="11" t="s">
        <v>749</v>
      </c>
      <c r="T105" s="6"/>
      <c r="U105" s="28" t="str">
        <f>HYPERLINK("https://media.infra-m.ru/1910/1910870/cover/1910870.jpg", "Обложка")</f>
        <v>Обложка</v>
      </c>
      <c r="V105" s="28" t="str">
        <f>HYPERLINK("https://znanium.com/catalog/product/1910870", "Ознакомиться")</f>
        <v>Ознакомиться</v>
      </c>
      <c r="W105" s="8" t="s">
        <v>204</v>
      </c>
      <c r="X105" s="6"/>
      <c r="Y105" s="6"/>
      <c r="Z105" s="6"/>
      <c r="AA105" s="6" t="s">
        <v>153</v>
      </c>
    </row>
    <row r="106" spans="1:27" s="4" customFormat="1" ht="51.95" customHeight="1">
      <c r="A106" s="5">
        <v>0</v>
      </c>
      <c r="B106" s="6" t="s">
        <v>750</v>
      </c>
      <c r="C106" s="7">
        <v>430</v>
      </c>
      <c r="D106" s="8" t="s">
        <v>751</v>
      </c>
      <c r="E106" s="8" t="s">
        <v>752</v>
      </c>
      <c r="F106" s="8" t="s">
        <v>753</v>
      </c>
      <c r="G106" s="6" t="s">
        <v>74</v>
      </c>
      <c r="H106" s="6" t="s">
        <v>113</v>
      </c>
      <c r="I106" s="8" t="s">
        <v>248</v>
      </c>
      <c r="J106" s="9">
        <v>1</v>
      </c>
      <c r="K106" s="9">
        <v>118</v>
      </c>
      <c r="L106" s="9">
        <v>2021</v>
      </c>
      <c r="M106" s="8" t="s">
        <v>754</v>
      </c>
      <c r="N106" s="8" t="s">
        <v>40</v>
      </c>
      <c r="O106" s="8" t="s">
        <v>41</v>
      </c>
      <c r="P106" s="6" t="s">
        <v>42</v>
      </c>
      <c r="Q106" s="8" t="s">
        <v>250</v>
      </c>
      <c r="R106" s="10" t="s">
        <v>251</v>
      </c>
      <c r="S106" s="11" t="s">
        <v>755</v>
      </c>
      <c r="T106" s="6" t="s">
        <v>117</v>
      </c>
      <c r="U106" s="28" t="str">
        <f>HYPERLINK("https://media.infra-m.ru/1178/1178153/cover/1178153.jpg", "Обложка")</f>
        <v>Обложка</v>
      </c>
      <c r="V106" s="28" t="str">
        <f>HYPERLINK("https://znanium.com/catalog/product/1178153", "Ознакомиться")</f>
        <v>Ознакомиться</v>
      </c>
      <c r="W106" s="8" t="s">
        <v>304</v>
      </c>
      <c r="X106" s="6"/>
      <c r="Y106" s="6"/>
      <c r="Z106" s="6" t="s">
        <v>756</v>
      </c>
      <c r="AA106" s="6" t="s">
        <v>245</v>
      </c>
    </row>
    <row r="107" spans="1:27" s="4" customFormat="1" ht="51.95" customHeight="1">
      <c r="A107" s="5">
        <v>0</v>
      </c>
      <c r="B107" s="6" t="s">
        <v>757</v>
      </c>
      <c r="C107" s="7">
        <v>679.9</v>
      </c>
      <c r="D107" s="8" t="s">
        <v>758</v>
      </c>
      <c r="E107" s="8" t="s">
        <v>759</v>
      </c>
      <c r="F107" s="8" t="s">
        <v>139</v>
      </c>
      <c r="G107" s="6" t="s">
        <v>37</v>
      </c>
      <c r="H107" s="6" t="s">
        <v>83</v>
      </c>
      <c r="I107" s="8" t="s">
        <v>84</v>
      </c>
      <c r="J107" s="9">
        <v>20</v>
      </c>
      <c r="K107" s="9">
        <v>322</v>
      </c>
      <c r="L107" s="9">
        <v>2017</v>
      </c>
      <c r="M107" s="8" t="s">
        <v>760</v>
      </c>
      <c r="N107" s="8" t="s">
        <v>40</v>
      </c>
      <c r="O107" s="8" t="s">
        <v>41</v>
      </c>
      <c r="P107" s="6" t="s">
        <v>42</v>
      </c>
      <c r="Q107" s="8" t="s">
        <v>43</v>
      </c>
      <c r="R107" s="10" t="s">
        <v>733</v>
      </c>
      <c r="S107" s="11" t="s">
        <v>734</v>
      </c>
      <c r="T107" s="6"/>
      <c r="U107" s="28" t="str">
        <f>HYPERLINK("https://media.infra-m.ru/0763/0763644/cover/763644.jpg", "Обложка")</f>
        <v>Обложка</v>
      </c>
      <c r="V107" s="28" t="str">
        <f>HYPERLINK("https://znanium.com/catalog/product/1861657", "Ознакомиться")</f>
        <v>Ознакомиться</v>
      </c>
      <c r="W107" s="8" t="s">
        <v>143</v>
      </c>
      <c r="X107" s="6"/>
      <c r="Y107" s="6"/>
      <c r="Z107" s="6"/>
      <c r="AA107" s="6" t="s">
        <v>761</v>
      </c>
    </row>
    <row r="108" spans="1:27" s="4" customFormat="1" ht="51.95" customHeight="1">
      <c r="A108" s="5">
        <v>0</v>
      </c>
      <c r="B108" s="6" t="s">
        <v>762</v>
      </c>
      <c r="C108" s="7">
        <v>534.9</v>
      </c>
      <c r="D108" s="8" t="s">
        <v>763</v>
      </c>
      <c r="E108" s="8" t="s">
        <v>752</v>
      </c>
      <c r="F108" s="8" t="s">
        <v>764</v>
      </c>
      <c r="G108" s="6" t="s">
        <v>74</v>
      </c>
      <c r="H108" s="6" t="s">
        <v>113</v>
      </c>
      <c r="I108" s="8" t="s">
        <v>75</v>
      </c>
      <c r="J108" s="9">
        <v>1</v>
      </c>
      <c r="K108" s="9">
        <v>118</v>
      </c>
      <c r="L108" s="9">
        <v>2023</v>
      </c>
      <c r="M108" s="8" t="s">
        <v>765</v>
      </c>
      <c r="N108" s="8" t="s">
        <v>40</v>
      </c>
      <c r="O108" s="8" t="s">
        <v>41</v>
      </c>
      <c r="P108" s="6" t="s">
        <v>42</v>
      </c>
      <c r="Q108" s="8" t="s">
        <v>43</v>
      </c>
      <c r="R108" s="10" t="s">
        <v>766</v>
      </c>
      <c r="S108" s="11" t="s">
        <v>767</v>
      </c>
      <c r="T108" s="6" t="s">
        <v>117</v>
      </c>
      <c r="U108" s="28" t="str">
        <f>HYPERLINK("https://media.infra-m.ru/1913/1913006/cover/1913006.jpg", "Обложка")</f>
        <v>Обложка</v>
      </c>
      <c r="V108" s="28" t="str">
        <f>HYPERLINK("https://znanium.com/catalog/product/1178152", "Ознакомиться")</f>
        <v>Ознакомиться</v>
      </c>
      <c r="W108" s="8" t="s">
        <v>304</v>
      </c>
      <c r="X108" s="6"/>
      <c r="Y108" s="6"/>
      <c r="Z108" s="6"/>
      <c r="AA108" s="6" t="s">
        <v>165</v>
      </c>
    </row>
    <row r="109" spans="1:27" s="4" customFormat="1" ht="51.95" customHeight="1">
      <c r="A109" s="5">
        <v>0</v>
      </c>
      <c r="B109" s="6" t="s">
        <v>768</v>
      </c>
      <c r="C109" s="7">
        <v>650</v>
      </c>
      <c r="D109" s="8" t="s">
        <v>769</v>
      </c>
      <c r="E109" s="8" t="s">
        <v>770</v>
      </c>
      <c r="F109" s="8" t="s">
        <v>771</v>
      </c>
      <c r="G109" s="6" t="s">
        <v>74</v>
      </c>
      <c r="H109" s="6" t="s">
        <v>53</v>
      </c>
      <c r="I109" s="8" t="s">
        <v>75</v>
      </c>
      <c r="J109" s="9">
        <v>1</v>
      </c>
      <c r="K109" s="9">
        <v>239</v>
      </c>
      <c r="L109" s="9">
        <v>2017</v>
      </c>
      <c r="M109" s="8" t="s">
        <v>772</v>
      </c>
      <c r="N109" s="8" t="s">
        <v>40</v>
      </c>
      <c r="O109" s="8" t="s">
        <v>41</v>
      </c>
      <c r="P109" s="6" t="s">
        <v>42</v>
      </c>
      <c r="Q109" s="8" t="s">
        <v>43</v>
      </c>
      <c r="R109" s="10" t="s">
        <v>773</v>
      </c>
      <c r="S109" s="11" t="s">
        <v>774</v>
      </c>
      <c r="T109" s="6"/>
      <c r="U109" s="28" t="str">
        <f>HYPERLINK("https://media.infra-m.ru/0612/0612572/cover/612572.jpg", "Обложка")</f>
        <v>Обложка</v>
      </c>
      <c r="V109" s="28" t="str">
        <f>HYPERLINK("https://znanium.com/catalog/product/1784437", "Ознакомиться")</f>
        <v>Ознакомиться</v>
      </c>
      <c r="W109" s="8" t="s">
        <v>495</v>
      </c>
      <c r="X109" s="6"/>
      <c r="Y109" s="6"/>
      <c r="Z109" s="6"/>
      <c r="AA109" s="6" t="s">
        <v>348</v>
      </c>
    </row>
    <row r="110" spans="1:27" s="4" customFormat="1" ht="51.95" customHeight="1">
      <c r="A110" s="5">
        <v>0</v>
      </c>
      <c r="B110" s="6" t="s">
        <v>775</v>
      </c>
      <c r="C110" s="7">
        <v>900</v>
      </c>
      <c r="D110" s="8" t="s">
        <v>776</v>
      </c>
      <c r="E110" s="8" t="s">
        <v>777</v>
      </c>
      <c r="F110" s="8" t="s">
        <v>778</v>
      </c>
      <c r="G110" s="6" t="s">
        <v>52</v>
      </c>
      <c r="H110" s="6" t="s">
        <v>83</v>
      </c>
      <c r="I110" s="8"/>
      <c r="J110" s="9">
        <v>1</v>
      </c>
      <c r="K110" s="9">
        <v>236</v>
      </c>
      <c r="L110" s="9">
        <v>2022</v>
      </c>
      <c r="M110" s="8" t="s">
        <v>779</v>
      </c>
      <c r="N110" s="8" t="s">
        <v>40</v>
      </c>
      <c r="O110" s="8" t="s">
        <v>41</v>
      </c>
      <c r="P110" s="6" t="s">
        <v>42</v>
      </c>
      <c r="Q110" s="8" t="s">
        <v>485</v>
      </c>
      <c r="R110" s="10" t="s">
        <v>780</v>
      </c>
      <c r="S110" s="11"/>
      <c r="T110" s="6"/>
      <c r="U110" s="28" t="str">
        <f>HYPERLINK("https://media.infra-m.ru/1843/1843171/cover/1843171.jpg", "Обложка")</f>
        <v>Обложка</v>
      </c>
      <c r="V110" s="28" t="str">
        <f>HYPERLINK("https://znanium.com/catalog/product/1843171", "Ознакомиться")</f>
        <v>Ознакомиться</v>
      </c>
      <c r="W110" s="8" t="s">
        <v>143</v>
      </c>
      <c r="X110" s="6"/>
      <c r="Y110" s="6"/>
      <c r="Z110" s="6"/>
      <c r="AA110" s="6" t="s">
        <v>226</v>
      </c>
    </row>
    <row r="111" spans="1:27" s="4" customFormat="1" ht="51.95" customHeight="1">
      <c r="A111" s="5">
        <v>0</v>
      </c>
      <c r="B111" s="6" t="s">
        <v>781</v>
      </c>
      <c r="C111" s="13">
        <v>1944.9</v>
      </c>
      <c r="D111" s="8" t="s">
        <v>782</v>
      </c>
      <c r="E111" s="8" t="s">
        <v>783</v>
      </c>
      <c r="F111" s="8" t="s">
        <v>784</v>
      </c>
      <c r="G111" s="6" t="s">
        <v>52</v>
      </c>
      <c r="H111" s="6" t="s">
        <v>53</v>
      </c>
      <c r="I111" s="8" t="s">
        <v>64</v>
      </c>
      <c r="J111" s="9">
        <v>1</v>
      </c>
      <c r="K111" s="9">
        <v>432</v>
      </c>
      <c r="L111" s="9">
        <v>2023</v>
      </c>
      <c r="M111" s="8" t="s">
        <v>785</v>
      </c>
      <c r="N111" s="8" t="s">
        <v>40</v>
      </c>
      <c r="O111" s="8" t="s">
        <v>41</v>
      </c>
      <c r="P111" s="6" t="s">
        <v>42</v>
      </c>
      <c r="Q111" s="8" t="s">
        <v>66</v>
      </c>
      <c r="R111" s="10" t="s">
        <v>786</v>
      </c>
      <c r="S111" s="11" t="s">
        <v>787</v>
      </c>
      <c r="T111" s="6"/>
      <c r="U111" s="28" t="str">
        <f>HYPERLINK("https://media.infra-m.ru/2053/2053243/cover/2053243.jpg", "Обложка")</f>
        <v>Обложка</v>
      </c>
      <c r="V111" s="28" t="str">
        <f>HYPERLINK("https://znanium.com/catalog/product/1189328", "Ознакомиться")</f>
        <v>Ознакомиться</v>
      </c>
      <c r="W111" s="8" t="s">
        <v>495</v>
      </c>
      <c r="X111" s="6"/>
      <c r="Y111" s="6"/>
      <c r="Z111" s="6"/>
      <c r="AA111" s="6" t="s">
        <v>788</v>
      </c>
    </row>
    <row r="112" spans="1:27" s="4" customFormat="1" ht="42" customHeight="1">
      <c r="A112" s="5">
        <v>0</v>
      </c>
      <c r="B112" s="6" t="s">
        <v>789</v>
      </c>
      <c r="C112" s="13">
        <v>1164.9000000000001</v>
      </c>
      <c r="D112" s="8" t="s">
        <v>790</v>
      </c>
      <c r="E112" s="8" t="s">
        <v>791</v>
      </c>
      <c r="F112" s="8" t="s">
        <v>792</v>
      </c>
      <c r="G112" s="6" t="s">
        <v>74</v>
      </c>
      <c r="H112" s="6" t="s">
        <v>83</v>
      </c>
      <c r="I112" s="8" t="s">
        <v>793</v>
      </c>
      <c r="J112" s="9">
        <v>1</v>
      </c>
      <c r="K112" s="9">
        <v>333</v>
      </c>
      <c r="L112" s="9">
        <v>2020</v>
      </c>
      <c r="M112" s="8" t="s">
        <v>794</v>
      </c>
      <c r="N112" s="8" t="s">
        <v>40</v>
      </c>
      <c r="O112" s="8" t="s">
        <v>41</v>
      </c>
      <c r="P112" s="6" t="s">
        <v>133</v>
      </c>
      <c r="Q112" s="8" t="s">
        <v>125</v>
      </c>
      <c r="R112" s="10" t="s">
        <v>795</v>
      </c>
      <c r="S112" s="11"/>
      <c r="T112" s="6"/>
      <c r="U112" s="28" t="str">
        <f>HYPERLINK("https://media.infra-m.ru/1084/1084326/cover/1084326.jpg", "Обложка")</f>
        <v>Обложка</v>
      </c>
      <c r="V112" s="28" t="str">
        <f>HYPERLINK("https://znanium.com/catalog/product/404678", "Ознакомиться")</f>
        <v>Ознакомиться</v>
      </c>
      <c r="W112" s="8" t="s">
        <v>796</v>
      </c>
      <c r="X112" s="6"/>
      <c r="Y112" s="6"/>
      <c r="Z112" s="6"/>
      <c r="AA112" s="6" t="s">
        <v>108</v>
      </c>
    </row>
    <row r="113" spans="1:27" s="4" customFormat="1" ht="51.95" customHeight="1">
      <c r="A113" s="5">
        <v>0</v>
      </c>
      <c r="B113" s="6" t="s">
        <v>797</v>
      </c>
      <c r="C113" s="13">
        <v>1394</v>
      </c>
      <c r="D113" s="8" t="s">
        <v>798</v>
      </c>
      <c r="E113" s="8" t="s">
        <v>799</v>
      </c>
      <c r="F113" s="8" t="s">
        <v>800</v>
      </c>
      <c r="G113" s="6" t="s">
        <v>37</v>
      </c>
      <c r="H113" s="6" t="s">
        <v>38</v>
      </c>
      <c r="I113" s="8"/>
      <c r="J113" s="9">
        <v>1</v>
      </c>
      <c r="K113" s="9">
        <v>304</v>
      </c>
      <c r="L113" s="9">
        <v>2024</v>
      </c>
      <c r="M113" s="8" t="s">
        <v>801</v>
      </c>
      <c r="N113" s="8" t="s">
        <v>40</v>
      </c>
      <c r="O113" s="8" t="s">
        <v>41</v>
      </c>
      <c r="P113" s="6" t="s">
        <v>42</v>
      </c>
      <c r="Q113" s="8" t="s">
        <v>43</v>
      </c>
      <c r="R113" s="10" t="s">
        <v>802</v>
      </c>
      <c r="S113" s="11" t="s">
        <v>803</v>
      </c>
      <c r="T113" s="6"/>
      <c r="U113" s="28" t="str">
        <f>HYPERLINK("https://media.infra-m.ru/2061/2061196/cover/2061196.jpg", "Обложка")</f>
        <v>Обложка</v>
      </c>
      <c r="V113" s="28" t="str">
        <f>HYPERLINK("https://znanium.com/catalog/product/1539230", "Ознакомиться")</f>
        <v>Ознакомиться</v>
      </c>
      <c r="W113" s="8" t="s">
        <v>152</v>
      </c>
      <c r="X113" s="6"/>
      <c r="Y113" s="6"/>
      <c r="Z113" s="6"/>
      <c r="AA113" s="6" t="s">
        <v>804</v>
      </c>
    </row>
    <row r="114" spans="1:27" s="4" customFormat="1" ht="42" customHeight="1">
      <c r="A114" s="5">
        <v>0</v>
      </c>
      <c r="B114" s="6" t="s">
        <v>805</v>
      </c>
      <c r="C114" s="13">
        <v>1612</v>
      </c>
      <c r="D114" s="8" t="s">
        <v>806</v>
      </c>
      <c r="E114" s="8" t="s">
        <v>807</v>
      </c>
      <c r="F114" s="8" t="s">
        <v>808</v>
      </c>
      <c r="G114" s="6" t="s">
        <v>37</v>
      </c>
      <c r="H114" s="6" t="s">
        <v>113</v>
      </c>
      <c r="I114" s="8" t="s">
        <v>377</v>
      </c>
      <c r="J114" s="9">
        <v>1</v>
      </c>
      <c r="K114" s="9">
        <v>267</v>
      </c>
      <c r="L114" s="9">
        <v>2024</v>
      </c>
      <c r="M114" s="8" t="s">
        <v>809</v>
      </c>
      <c r="N114" s="8" t="s">
        <v>40</v>
      </c>
      <c r="O114" s="8" t="s">
        <v>41</v>
      </c>
      <c r="P114" s="6" t="s">
        <v>42</v>
      </c>
      <c r="Q114" s="8" t="s">
        <v>379</v>
      </c>
      <c r="R114" s="10" t="s">
        <v>810</v>
      </c>
      <c r="S114" s="11"/>
      <c r="T114" s="6"/>
      <c r="U114" s="28" t="str">
        <f>HYPERLINK("https://media.infra-m.ru/2084/2084342/cover/2084342.jpg", "Обложка")</f>
        <v>Обложка</v>
      </c>
      <c r="V114" s="28" t="str">
        <f>HYPERLINK("https://znanium.com/catalog/product/2084342", "Ознакомиться")</f>
        <v>Ознакомиться</v>
      </c>
      <c r="W114" s="8" t="s">
        <v>304</v>
      </c>
      <c r="X114" s="6" t="s">
        <v>381</v>
      </c>
      <c r="Y114" s="6"/>
      <c r="Z114" s="6"/>
      <c r="AA114" s="6" t="s">
        <v>173</v>
      </c>
    </row>
    <row r="115" spans="1:27" s="4" customFormat="1" ht="51.95" customHeight="1">
      <c r="A115" s="5">
        <v>0</v>
      </c>
      <c r="B115" s="6" t="s">
        <v>811</v>
      </c>
      <c r="C115" s="13">
        <v>2470</v>
      </c>
      <c r="D115" s="8" t="s">
        <v>812</v>
      </c>
      <c r="E115" s="8" t="s">
        <v>813</v>
      </c>
      <c r="F115" s="8" t="s">
        <v>814</v>
      </c>
      <c r="G115" s="6" t="s">
        <v>52</v>
      </c>
      <c r="H115" s="6" t="s">
        <v>113</v>
      </c>
      <c r="I115" s="8" t="s">
        <v>75</v>
      </c>
      <c r="J115" s="9">
        <v>1</v>
      </c>
      <c r="K115" s="9">
        <v>549</v>
      </c>
      <c r="L115" s="9">
        <v>2023</v>
      </c>
      <c r="M115" s="8" t="s">
        <v>815</v>
      </c>
      <c r="N115" s="8" t="s">
        <v>40</v>
      </c>
      <c r="O115" s="8" t="s">
        <v>41</v>
      </c>
      <c r="P115" s="6" t="s">
        <v>161</v>
      </c>
      <c r="Q115" s="8" t="s">
        <v>43</v>
      </c>
      <c r="R115" s="10" t="s">
        <v>816</v>
      </c>
      <c r="S115" s="11" t="s">
        <v>817</v>
      </c>
      <c r="T115" s="6"/>
      <c r="U115" s="28" t="str">
        <f>HYPERLINK("https://media.infra-m.ru/1960/1960133/cover/1960133.jpg", "Обложка")</f>
        <v>Обложка</v>
      </c>
      <c r="V115" s="28" t="str">
        <f>HYPERLINK("https://znanium.com/catalog/product/1960133", "Ознакомиться")</f>
        <v>Ознакомиться</v>
      </c>
      <c r="W115" s="8" t="s">
        <v>818</v>
      </c>
      <c r="X115" s="6"/>
      <c r="Y115" s="6"/>
      <c r="Z115" s="6"/>
      <c r="AA115" s="6" t="s">
        <v>120</v>
      </c>
    </row>
    <row r="116" spans="1:27" s="4" customFormat="1" ht="44.1" customHeight="1">
      <c r="A116" s="5">
        <v>0</v>
      </c>
      <c r="B116" s="6" t="s">
        <v>819</v>
      </c>
      <c r="C116" s="7">
        <v>910</v>
      </c>
      <c r="D116" s="8" t="s">
        <v>820</v>
      </c>
      <c r="E116" s="8" t="s">
        <v>821</v>
      </c>
      <c r="F116" s="8" t="s">
        <v>822</v>
      </c>
      <c r="G116" s="6" t="s">
        <v>37</v>
      </c>
      <c r="H116" s="6" t="s">
        <v>113</v>
      </c>
      <c r="I116" s="8" t="s">
        <v>54</v>
      </c>
      <c r="J116" s="9">
        <v>1</v>
      </c>
      <c r="K116" s="9">
        <v>191</v>
      </c>
      <c r="L116" s="9">
        <v>2024</v>
      </c>
      <c r="M116" s="8" t="s">
        <v>823</v>
      </c>
      <c r="N116" s="8" t="s">
        <v>40</v>
      </c>
      <c r="O116" s="8" t="s">
        <v>41</v>
      </c>
      <c r="P116" s="6" t="s">
        <v>161</v>
      </c>
      <c r="Q116" s="8" t="s">
        <v>379</v>
      </c>
      <c r="R116" s="10" t="s">
        <v>824</v>
      </c>
      <c r="S116" s="11"/>
      <c r="T116" s="6"/>
      <c r="U116" s="28" t="str">
        <f>HYPERLINK("https://media.infra-m.ru/1989/1989238/cover/1989238.jpg", "Обложка")</f>
        <v>Обложка</v>
      </c>
      <c r="V116" s="28" t="str">
        <f>HYPERLINK("https://znanium.com/catalog/product/1989238", "Ознакомиться")</f>
        <v>Ознакомиться</v>
      </c>
      <c r="W116" s="8" t="s">
        <v>825</v>
      </c>
      <c r="X116" s="6" t="s">
        <v>381</v>
      </c>
      <c r="Y116" s="6"/>
      <c r="Z116" s="6"/>
      <c r="AA116" s="6" t="s">
        <v>173</v>
      </c>
    </row>
    <row r="117" spans="1:27" s="4" customFormat="1" ht="42" customHeight="1">
      <c r="A117" s="5">
        <v>0</v>
      </c>
      <c r="B117" s="6" t="s">
        <v>826</v>
      </c>
      <c r="C117" s="13">
        <v>2567</v>
      </c>
      <c r="D117" s="8" t="s">
        <v>827</v>
      </c>
      <c r="E117" s="8" t="s">
        <v>828</v>
      </c>
      <c r="F117" s="8" t="s">
        <v>829</v>
      </c>
      <c r="G117" s="6" t="s">
        <v>37</v>
      </c>
      <c r="H117" s="6" t="s">
        <v>38</v>
      </c>
      <c r="I117" s="8"/>
      <c r="J117" s="9">
        <v>1</v>
      </c>
      <c r="K117" s="9">
        <v>462</v>
      </c>
      <c r="L117" s="9">
        <v>2024</v>
      </c>
      <c r="M117" s="8" t="s">
        <v>830</v>
      </c>
      <c r="N117" s="8" t="s">
        <v>40</v>
      </c>
      <c r="O117" s="8" t="s">
        <v>41</v>
      </c>
      <c r="P117" s="6" t="s">
        <v>42</v>
      </c>
      <c r="Q117" s="8" t="s">
        <v>43</v>
      </c>
      <c r="R117" s="10" t="s">
        <v>831</v>
      </c>
      <c r="S117" s="11"/>
      <c r="T117" s="6"/>
      <c r="U117" s="28" t="str">
        <f>HYPERLINK("https://media.infra-m.ru/2102/2102176/cover/2102176.jpg", "Обложка")</f>
        <v>Обложка</v>
      </c>
      <c r="V117" s="28" t="str">
        <f>HYPERLINK("https://znanium.com/catalog/product/1032991", "Ознакомиться")</f>
        <v>Ознакомиться</v>
      </c>
      <c r="W117" s="8" t="s">
        <v>46</v>
      </c>
      <c r="X117" s="6"/>
      <c r="Y117" s="6"/>
      <c r="Z117" s="6"/>
      <c r="AA117" s="6" t="s">
        <v>89</v>
      </c>
    </row>
    <row r="118" spans="1:27" s="4" customFormat="1" ht="51.95" customHeight="1">
      <c r="A118" s="5">
        <v>0</v>
      </c>
      <c r="B118" s="6" t="s">
        <v>832</v>
      </c>
      <c r="C118" s="13">
        <v>1844</v>
      </c>
      <c r="D118" s="8" t="s">
        <v>833</v>
      </c>
      <c r="E118" s="8" t="s">
        <v>834</v>
      </c>
      <c r="F118" s="8" t="s">
        <v>316</v>
      </c>
      <c r="G118" s="6" t="s">
        <v>52</v>
      </c>
      <c r="H118" s="6" t="s">
        <v>53</v>
      </c>
      <c r="I118" s="8" t="s">
        <v>64</v>
      </c>
      <c r="J118" s="9">
        <v>1</v>
      </c>
      <c r="K118" s="9">
        <v>400</v>
      </c>
      <c r="L118" s="9">
        <v>2024</v>
      </c>
      <c r="M118" s="8" t="s">
        <v>835</v>
      </c>
      <c r="N118" s="8" t="s">
        <v>40</v>
      </c>
      <c r="O118" s="8" t="s">
        <v>41</v>
      </c>
      <c r="P118" s="6" t="s">
        <v>42</v>
      </c>
      <c r="Q118" s="8" t="s">
        <v>66</v>
      </c>
      <c r="R118" s="10" t="s">
        <v>836</v>
      </c>
      <c r="S118" s="11" t="s">
        <v>225</v>
      </c>
      <c r="T118" s="6"/>
      <c r="U118" s="28" t="str">
        <f>HYPERLINK("https://media.infra-m.ru/2104/2104819/cover/2104819.jpg", "Обложка")</f>
        <v>Обложка</v>
      </c>
      <c r="V118" s="28" t="str">
        <f>HYPERLINK("https://znanium.com/catalog/product/2013719", "Ознакомиться")</f>
        <v>Ознакомиться</v>
      </c>
      <c r="W118" s="8" t="s">
        <v>189</v>
      </c>
      <c r="X118" s="6"/>
      <c r="Y118" s="6"/>
      <c r="Z118" s="6" t="s">
        <v>69</v>
      </c>
      <c r="AA118" s="6" t="s">
        <v>226</v>
      </c>
    </row>
    <row r="119" spans="1:27" s="4" customFormat="1" ht="51.95" customHeight="1">
      <c r="A119" s="5">
        <v>0</v>
      </c>
      <c r="B119" s="6" t="s">
        <v>837</v>
      </c>
      <c r="C119" s="13">
        <v>1010</v>
      </c>
      <c r="D119" s="8" t="s">
        <v>838</v>
      </c>
      <c r="E119" s="8" t="s">
        <v>839</v>
      </c>
      <c r="F119" s="8" t="s">
        <v>840</v>
      </c>
      <c r="G119" s="6" t="s">
        <v>52</v>
      </c>
      <c r="H119" s="6" t="s">
        <v>113</v>
      </c>
      <c r="I119" s="8" t="s">
        <v>54</v>
      </c>
      <c r="J119" s="9">
        <v>1</v>
      </c>
      <c r="K119" s="9">
        <v>218</v>
      </c>
      <c r="L119" s="9">
        <v>2024</v>
      </c>
      <c r="M119" s="8" t="s">
        <v>841</v>
      </c>
      <c r="N119" s="8" t="s">
        <v>40</v>
      </c>
      <c r="O119" s="8" t="s">
        <v>41</v>
      </c>
      <c r="P119" s="6" t="s">
        <v>42</v>
      </c>
      <c r="Q119" s="8" t="s">
        <v>43</v>
      </c>
      <c r="R119" s="10" t="s">
        <v>842</v>
      </c>
      <c r="S119" s="11" t="s">
        <v>843</v>
      </c>
      <c r="T119" s="6"/>
      <c r="U119" s="28" t="str">
        <f>HYPERLINK("https://media.infra-m.ru/2108/2108502/cover/2108502.jpg", "Обложка")</f>
        <v>Обложка</v>
      </c>
      <c r="V119" s="28" t="str">
        <f>HYPERLINK("https://znanium.com/catalog/product/2108502", "Ознакомиться")</f>
        <v>Ознакомиться</v>
      </c>
      <c r="W119" s="8" t="s">
        <v>844</v>
      </c>
      <c r="X119" s="6"/>
      <c r="Y119" s="6"/>
      <c r="Z119" s="6"/>
      <c r="AA119" s="6" t="s">
        <v>89</v>
      </c>
    </row>
    <row r="120" spans="1:27" s="4" customFormat="1" ht="51.95" customHeight="1">
      <c r="A120" s="5">
        <v>0</v>
      </c>
      <c r="B120" s="6" t="s">
        <v>845</v>
      </c>
      <c r="C120" s="13">
        <v>1054.9000000000001</v>
      </c>
      <c r="D120" s="8" t="s">
        <v>846</v>
      </c>
      <c r="E120" s="8" t="s">
        <v>839</v>
      </c>
      <c r="F120" s="8" t="s">
        <v>847</v>
      </c>
      <c r="G120" s="6" t="s">
        <v>37</v>
      </c>
      <c r="H120" s="6" t="s">
        <v>113</v>
      </c>
      <c r="I120" s="8" t="s">
        <v>75</v>
      </c>
      <c r="J120" s="9">
        <v>1</v>
      </c>
      <c r="K120" s="9">
        <v>234</v>
      </c>
      <c r="L120" s="9">
        <v>2023</v>
      </c>
      <c r="M120" s="8" t="s">
        <v>848</v>
      </c>
      <c r="N120" s="8" t="s">
        <v>40</v>
      </c>
      <c r="O120" s="8" t="s">
        <v>41</v>
      </c>
      <c r="P120" s="6" t="s">
        <v>42</v>
      </c>
      <c r="Q120" s="8" t="s">
        <v>43</v>
      </c>
      <c r="R120" s="10" t="s">
        <v>849</v>
      </c>
      <c r="S120" s="11" t="s">
        <v>850</v>
      </c>
      <c r="T120" s="6"/>
      <c r="U120" s="28" t="str">
        <f>HYPERLINK("https://media.infra-m.ru/1930/1930717/cover/1930717.jpg", "Обложка")</f>
        <v>Обложка</v>
      </c>
      <c r="V120" s="28" t="str">
        <f>HYPERLINK("https://znanium.com/catalog/product/1669591", "Ознакомиться")</f>
        <v>Ознакомиться</v>
      </c>
      <c r="W120" s="8" t="s">
        <v>46</v>
      </c>
      <c r="X120" s="6"/>
      <c r="Y120" s="6"/>
      <c r="Z120" s="6"/>
      <c r="AA120" s="6" t="s">
        <v>205</v>
      </c>
    </row>
    <row r="121" spans="1:27" s="4" customFormat="1" ht="51.95" customHeight="1">
      <c r="A121" s="5">
        <v>0</v>
      </c>
      <c r="B121" s="6" t="s">
        <v>851</v>
      </c>
      <c r="C121" s="13">
        <v>2594</v>
      </c>
      <c r="D121" s="8" t="s">
        <v>852</v>
      </c>
      <c r="E121" s="8" t="s">
        <v>853</v>
      </c>
      <c r="F121" s="8" t="s">
        <v>854</v>
      </c>
      <c r="G121" s="6" t="s">
        <v>52</v>
      </c>
      <c r="H121" s="6" t="s">
        <v>113</v>
      </c>
      <c r="I121" s="8" t="s">
        <v>64</v>
      </c>
      <c r="J121" s="9">
        <v>1</v>
      </c>
      <c r="K121" s="9">
        <v>576</v>
      </c>
      <c r="L121" s="9">
        <v>2024</v>
      </c>
      <c r="M121" s="8" t="s">
        <v>855</v>
      </c>
      <c r="N121" s="8" t="s">
        <v>40</v>
      </c>
      <c r="O121" s="8" t="s">
        <v>41</v>
      </c>
      <c r="P121" s="6" t="s">
        <v>161</v>
      </c>
      <c r="Q121" s="8" t="s">
        <v>66</v>
      </c>
      <c r="R121" s="10" t="s">
        <v>387</v>
      </c>
      <c r="S121" s="11" t="s">
        <v>856</v>
      </c>
      <c r="T121" s="6"/>
      <c r="U121" s="28" t="str">
        <f>HYPERLINK("https://media.infra-m.ru/1913/1913106/cover/1913106.jpg", "Обложка")</f>
        <v>Обложка</v>
      </c>
      <c r="V121" s="28" t="str">
        <f>HYPERLINK("https://znanium.com/catalog/product/1413307", "Ознакомиться")</f>
        <v>Ознакомиться</v>
      </c>
      <c r="W121" s="8" t="s">
        <v>857</v>
      </c>
      <c r="X121" s="6"/>
      <c r="Y121" s="6"/>
      <c r="Z121" s="6"/>
      <c r="AA121" s="6" t="s">
        <v>253</v>
      </c>
    </row>
    <row r="122" spans="1:27" s="4" customFormat="1" ht="51.95" customHeight="1">
      <c r="A122" s="5">
        <v>0</v>
      </c>
      <c r="B122" s="6" t="s">
        <v>858</v>
      </c>
      <c r="C122" s="13">
        <v>1994</v>
      </c>
      <c r="D122" s="8" t="s">
        <v>859</v>
      </c>
      <c r="E122" s="8" t="s">
        <v>860</v>
      </c>
      <c r="F122" s="8" t="s">
        <v>854</v>
      </c>
      <c r="G122" s="6" t="s">
        <v>52</v>
      </c>
      <c r="H122" s="6" t="s">
        <v>113</v>
      </c>
      <c r="I122" s="8" t="s">
        <v>64</v>
      </c>
      <c r="J122" s="9">
        <v>1</v>
      </c>
      <c r="K122" s="9">
        <v>439</v>
      </c>
      <c r="L122" s="9">
        <v>2024</v>
      </c>
      <c r="M122" s="8" t="s">
        <v>861</v>
      </c>
      <c r="N122" s="8" t="s">
        <v>40</v>
      </c>
      <c r="O122" s="8" t="s">
        <v>41</v>
      </c>
      <c r="P122" s="6" t="s">
        <v>161</v>
      </c>
      <c r="Q122" s="8" t="s">
        <v>66</v>
      </c>
      <c r="R122" s="10" t="s">
        <v>387</v>
      </c>
      <c r="S122" s="11" t="s">
        <v>862</v>
      </c>
      <c r="T122" s="6"/>
      <c r="U122" s="28" t="str">
        <f>HYPERLINK("https://media.infra-m.ru/2082/2082171/cover/2082171.jpg", "Обложка")</f>
        <v>Обложка</v>
      </c>
      <c r="V122" s="28" t="str">
        <f>HYPERLINK("https://znanium.com/catalog/product/1775393", "Ознакомиться")</f>
        <v>Ознакомиться</v>
      </c>
      <c r="W122" s="8" t="s">
        <v>857</v>
      </c>
      <c r="X122" s="6"/>
      <c r="Y122" s="6"/>
      <c r="Z122" s="6"/>
      <c r="AA122" s="6" t="s">
        <v>253</v>
      </c>
    </row>
    <row r="123" spans="1:27" s="4" customFormat="1" ht="51.95" customHeight="1">
      <c r="A123" s="5">
        <v>0</v>
      </c>
      <c r="B123" s="6" t="s">
        <v>863</v>
      </c>
      <c r="C123" s="13">
        <v>1980</v>
      </c>
      <c r="D123" s="8" t="s">
        <v>864</v>
      </c>
      <c r="E123" s="8" t="s">
        <v>865</v>
      </c>
      <c r="F123" s="8" t="s">
        <v>866</v>
      </c>
      <c r="G123" s="6" t="s">
        <v>52</v>
      </c>
      <c r="H123" s="6" t="s">
        <v>113</v>
      </c>
      <c r="I123" s="8" t="s">
        <v>64</v>
      </c>
      <c r="J123" s="9">
        <v>1</v>
      </c>
      <c r="K123" s="9">
        <v>551</v>
      </c>
      <c r="L123" s="9">
        <v>2021</v>
      </c>
      <c r="M123" s="8" t="s">
        <v>867</v>
      </c>
      <c r="N123" s="8" t="s">
        <v>40</v>
      </c>
      <c r="O123" s="8" t="s">
        <v>41</v>
      </c>
      <c r="P123" s="6" t="s">
        <v>161</v>
      </c>
      <c r="Q123" s="8" t="s">
        <v>66</v>
      </c>
      <c r="R123" s="10" t="s">
        <v>868</v>
      </c>
      <c r="S123" s="11" t="s">
        <v>856</v>
      </c>
      <c r="T123" s="6"/>
      <c r="U123" s="28" t="str">
        <f>HYPERLINK("https://media.infra-m.ru/1196/1196563/cover/1196563.jpg", "Обложка")</f>
        <v>Обложка</v>
      </c>
      <c r="V123" s="28" t="str">
        <f>HYPERLINK("https://znanium.com/catalog/product/1196563", "Ознакомиться")</f>
        <v>Ознакомиться</v>
      </c>
      <c r="W123" s="8" t="s">
        <v>857</v>
      </c>
      <c r="X123" s="6"/>
      <c r="Y123" s="6"/>
      <c r="Z123" s="6"/>
      <c r="AA123" s="6" t="s">
        <v>253</v>
      </c>
    </row>
    <row r="124" spans="1:27" s="4" customFormat="1" ht="51.95" customHeight="1">
      <c r="A124" s="5">
        <v>0</v>
      </c>
      <c r="B124" s="6" t="s">
        <v>869</v>
      </c>
      <c r="C124" s="13">
        <v>1840</v>
      </c>
      <c r="D124" s="8" t="s">
        <v>870</v>
      </c>
      <c r="E124" s="8" t="s">
        <v>834</v>
      </c>
      <c r="F124" s="8" t="s">
        <v>871</v>
      </c>
      <c r="G124" s="6" t="s">
        <v>52</v>
      </c>
      <c r="H124" s="6" t="s">
        <v>53</v>
      </c>
      <c r="I124" s="8" t="s">
        <v>54</v>
      </c>
      <c r="J124" s="9">
        <v>1</v>
      </c>
      <c r="K124" s="9">
        <v>400</v>
      </c>
      <c r="L124" s="9">
        <v>2023</v>
      </c>
      <c r="M124" s="8" t="s">
        <v>872</v>
      </c>
      <c r="N124" s="8" t="s">
        <v>40</v>
      </c>
      <c r="O124" s="8" t="s">
        <v>41</v>
      </c>
      <c r="P124" s="6" t="s">
        <v>42</v>
      </c>
      <c r="Q124" s="8" t="s">
        <v>379</v>
      </c>
      <c r="R124" s="10" t="s">
        <v>230</v>
      </c>
      <c r="S124" s="11" t="s">
        <v>873</v>
      </c>
      <c r="T124" s="6"/>
      <c r="U124" s="28" t="str">
        <f>HYPERLINK("https://media.infra-m.ru/1937/1937939/cover/1937939.jpg", "Обложка")</f>
        <v>Обложка</v>
      </c>
      <c r="V124" s="28" t="str">
        <f>HYPERLINK("https://znanium.com/catalog/product/1937939", "Ознакомиться")</f>
        <v>Ознакомиться</v>
      </c>
      <c r="W124" s="8" t="s">
        <v>189</v>
      </c>
      <c r="X124" s="6"/>
      <c r="Y124" s="6"/>
      <c r="Z124" s="6"/>
      <c r="AA124" s="6" t="s">
        <v>47</v>
      </c>
    </row>
    <row r="125" spans="1:27" s="4" customFormat="1" ht="51.95" customHeight="1">
      <c r="A125" s="5">
        <v>0</v>
      </c>
      <c r="B125" s="6" t="s">
        <v>874</v>
      </c>
      <c r="C125" s="13">
        <v>1490</v>
      </c>
      <c r="D125" s="8" t="s">
        <v>875</v>
      </c>
      <c r="E125" s="8" t="s">
        <v>876</v>
      </c>
      <c r="F125" s="8" t="s">
        <v>877</v>
      </c>
      <c r="G125" s="6" t="s">
        <v>52</v>
      </c>
      <c r="H125" s="6" t="s">
        <v>113</v>
      </c>
      <c r="I125" s="8" t="s">
        <v>64</v>
      </c>
      <c r="J125" s="9">
        <v>1</v>
      </c>
      <c r="K125" s="9">
        <v>330</v>
      </c>
      <c r="L125" s="9">
        <v>2023</v>
      </c>
      <c r="M125" s="8" t="s">
        <v>878</v>
      </c>
      <c r="N125" s="8" t="s">
        <v>40</v>
      </c>
      <c r="O125" s="8" t="s">
        <v>41</v>
      </c>
      <c r="P125" s="6" t="s">
        <v>42</v>
      </c>
      <c r="Q125" s="8" t="s">
        <v>66</v>
      </c>
      <c r="R125" s="10" t="s">
        <v>786</v>
      </c>
      <c r="S125" s="11" t="s">
        <v>879</v>
      </c>
      <c r="T125" s="6"/>
      <c r="U125" s="28" t="str">
        <f>HYPERLINK("https://media.infra-m.ru/1964/1964965/cover/1964965.jpg", "Обложка")</f>
        <v>Обложка</v>
      </c>
      <c r="V125" s="28" t="str">
        <f>HYPERLINK("https://znanium.com/catalog/product/1964965", "Ознакомиться")</f>
        <v>Ознакомиться</v>
      </c>
      <c r="W125" s="8" t="s">
        <v>88</v>
      </c>
      <c r="X125" s="6"/>
      <c r="Y125" s="6"/>
      <c r="Z125" s="6" t="s">
        <v>69</v>
      </c>
      <c r="AA125" s="6" t="s">
        <v>880</v>
      </c>
    </row>
    <row r="126" spans="1:27" s="4" customFormat="1" ht="51.95" customHeight="1">
      <c r="A126" s="5">
        <v>0</v>
      </c>
      <c r="B126" s="6" t="s">
        <v>881</v>
      </c>
      <c r="C126" s="13">
        <v>1514</v>
      </c>
      <c r="D126" s="8" t="s">
        <v>882</v>
      </c>
      <c r="E126" s="8" t="s">
        <v>876</v>
      </c>
      <c r="F126" s="8" t="s">
        <v>877</v>
      </c>
      <c r="G126" s="6" t="s">
        <v>52</v>
      </c>
      <c r="H126" s="6" t="s">
        <v>113</v>
      </c>
      <c r="I126" s="8" t="s">
        <v>75</v>
      </c>
      <c r="J126" s="9">
        <v>1</v>
      </c>
      <c r="K126" s="9">
        <v>330</v>
      </c>
      <c r="L126" s="9">
        <v>2024</v>
      </c>
      <c r="M126" s="8" t="s">
        <v>883</v>
      </c>
      <c r="N126" s="8" t="s">
        <v>40</v>
      </c>
      <c r="O126" s="8" t="s">
        <v>41</v>
      </c>
      <c r="P126" s="6" t="s">
        <v>42</v>
      </c>
      <c r="Q126" s="8" t="s">
        <v>43</v>
      </c>
      <c r="R126" s="10" t="s">
        <v>884</v>
      </c>
      <c r="S126" s="11" t="s">
        <v>885</v>
      </c>
      <c r="T126" s="6"/>
      <c r="U126" s="28" t="str">
        <f>HYPERLINK("https://media.infra-m.ru/2084/2084528/cover/2084528.jpg", "Обложка")</f>
        <v>Обложка</v>
      </c>
      <c r="V126" s="28" t="str">
        <f>HYPERLINK("https://znanium.com/catalog/product/1844303", "Ознакомиться")</f>
        <v>Ознакомиться</v>
      </c>
      <c r="W126" s="8" t="s">
        <v>88</v>
      </c>
      <c r="X126" s="6"/>
      <c r="Y126" s="6"/>
      <c r="Z126" s="6"/>
      <c r="AA126" s="6" t="s">
        <v>886</v>
      </c>
    </row>
    <row r="127" spans="1:27" s="4" customFormat="1" ht="51.95" customHeight="1">
      <c r="A127" s="5">
        <v>0</v>
      </c>
      <c r="B127" s="6" t="s">
        <v>887</v>
      </c>
      <c r="C127" s="13">
        <v>2024</v>
      </c>
      <c r="D127" s="8" t="s">
        <v>888</v>
      </c>
      <c r="E127" s="8" t="s">
        <v>889</v>
      </c>
      <c r="F127" s="8" t="s">
        <v>871</v>
      </c>
      <c r="G127" s="6" t="s">
        <v>37</v>
      </c>
      <c r="H127" s="6" t="s">
        <v>53</v>
      </c>
      <c r="I127" s="8" t="s">
        <v>54</v>
      </c>
      <c r="J127" s="9">
        <v>1</v>
      </c>
      <c r="K127" s="9">
        <v>448</v>
      </c>
      <c r="L127" s="9">
        <v>2024</v>
      </c>
      <c r="M127" s="8" t="s">
        <v>890</v>
      </c>
      <c r="N127" s="8" t="s">
        <v>40</v>
      </c>
      <c r="O127" s="8" t="s">
        <v>41</v>
      </c>
      <c r="P127" s="6" t="s">
        <v>42</v>
      </c>
      <c r="Q127" s="8" t="s">
        <v>43</v>
      </c>
      <c r="R127" s="10" t="s">
        <v>891</v>
      </c>
      <c r="S127" s="11" t="s">
        <v>892</v>
      </c>
      <c r="T127" s="6"/>
      <c r="U127" s="28" t="str">
        <f>HYPERLINK("https://media.infra-m.ru/2056/2056640/cover/2056640.jpg", "Обложка")</f>
        <v>Обложка</v>
      </c>
      <c r="V127" s="28" t="str">
        <f>HYPERLINK("https://znanium.com/catalog/product/1832410", "Ознакомиться")</f>
        <v>Ознакомиться</v>
      </c>
      <c r="W127" s="8" t="s">
        <v>189</v>
      </c>
      <c r="X127" s="6"/>
      <c r="Y127" s="6"/>
      <c r="Z127" s="6"/>
      <c r="AA127" s="6" t="s">
        <v>804</v>
      </c>
    </row>
    <row r="128" spans="1:27" s="4" customFormat="1" ht="51.95" customHeight="1">
      <c r="A128" s="5">
        <v>0</v>
      </c>
      <c r="B128" s="6" t="s">
        <v>893</v>
      </c>
      <c r="C128" s="13">
        <v>1310</v>
      </c>
      <c r="D128" s="8" t="s">
        <v>894</v>
      </c>
      <c r="E128" s="8" t="s">
        <v>889</v>
      </c>
      <c r="F128" s="8" t="s">
        <v>316</v>
      </c>
      <c r="G128" s="6" t="s">
        <v>37</v>
      </c>
      <c r="H128" s="6" t="s">
        <v>53</v>
      </c>
      <c r="I128" s="8" t="s">
        <v>64</v>
      </c>
      <c r="J128" s="14">
        <v>0</v>
      </c>
      <c r="K128" s="9">
        <v>448</v>
      </c>
      <c r="L128" s="9">
        <v>2018</v>
      </c>
      <c r="M128" s="8" t="s">
        <v>895</v>
      </c>
      <c r="N128" s="8" t="s">
        <v>40</v>
      </c>
      <c r="O128" s="8" t="s">
        <v>41</v>
      </c>
      <c r="P128" s="6" t="s">
        <v>42</v>
      </c>
      <c r="Q128" s="8" t="s">
        <v>66</v>
      </c>
      <c r="R128" s="10"/>
      <c r="S128" s="11" t="s">
        <v>892</v>
      </c>
      <c r="T128" s="6"/>
      <c r="U128" s="28" t="str">
        <f>HYPERLINK("https://media.infra-m.ru/0967/0967464/cover/967464.jpg", "Обложка")</f>
        <v>Обложка</v>
      </c>
      <c r="V128" s="12"/>
      <c r="W128" s="8" t="s">
        <v>189</v>
      </c>
      <c r="X128" s="6"/>
      <c r="Y128" s="6"/>
      <c r="Z128" s="6" t="s">
        <v>69</v>
      </c>
      <c r="AA128" s="6" t="s">
        <v>96</v>
      </c>
    </row>
    <row r="129" spans="1:27" s="4" customFormat="1" ht="51.95" customHeight="1">
      <c r="A129" s="5">
        <v>0</v>
      </c>
      <c r="B129" s="6" t="s">
        <v>896</v>
      </c>
      <c r="C129" s="13">
        <v>1510</v>
      </c>
      <c r="D129" s="8" t="s">
        <v>897</v>
      </c>
      <c r="E129" s="8" t="s">
        <v>898</v>
      </c>
      <c r="F129" s="8" t="s">
        <v>677</v>
      </c>
      <c r="G129" s="6" t="s">
        <v>52</v>
      </c>
      <c r="H129" s="6" t="s">
        <v>149</v>
      </c>
      <c r="I129" s="8" t="s">
        <v>54</v>
      </c>
      <c r="J129" s="9">
        <v>1</v>
      </c>
      <c r="K129" s="9">
        <v>335</v>
      </c>
      <c r="L129" s="9">
        <v>2023</v>
      </c>
      <c r="M129" s="8" t="s">
        <v>899</v>
      </c>
      <c r="N129" s="8" t="s">
        <v>40</v>
      </c>
      <c r="O129" s="8" t="s">
        <v>41</v>
      </c>
      <c r="P129" s="6" t="s">
        <v>42</v>
      </c>
      <c r="Q129" s="8" t="s">
        <v>43</v>
      </c>
      <c r="R129" s="10" t="s">
        <v>900</v>
      </c>
      <c r="S129" s="11" t="s">
        <v>901</v>
      </c>
      <c r="T129" s="6"/>
      <c r="U129" s="28" t="str">
        <f>HYPERLINK("https://media.infra-m.ru/1986/1986692/cover/1986692.jpg", "Обложка")</f>
        <v>Обложка</v>
      </c>
      <c r="V129" s="28" t="str">
        <f>HYPERLINK("https://znanium.com/catalog/product/1891636", "Ознакомиться")</f>
        <v>Ознакомиться</v>
      </c>
      <c r="W129" s="8" t="s">
        <v>204</v>
      </c>
      <c r="X129" s="6"/>
      <c r="Y129" s="6"/>
      <c r="Z129" s="6"/>
      <c r="AA129" s="6" t="s">
        <v>333</v>
      </c>
    </row>
    <row r="130" spans="1:27" s="4" customFormat="1" ht="51.95" customHeight="1">
      <c r="A130" s="5">
        <v>0</v>
      </c>
      <c r="B130" s="6" t="s">
        <v>902</v>
      </c>
      <c r="C130" s="13">
        <v>1094</v>
      </c>
      <c r="D130" s="8" t="s">
        <v>903</v>
      </c>
      <c r="E130" s="8" t="s">
        <v>904</v>
      </c>
      <c r="F130" s="8" t="s">
        <v>905</v>
      </c>
      <c r="G130" s="6" t="s">
        <v>37</v>
      </c>
      <c r="H130" s="6" t="s">
        <v>113</v>
      </c>
      <c r="I130" s="8" t="s">
        <v>75</v>
      </c>
      <c r="J130" s="9">
        <v>1</v>
      </c>
      <c r="K130" s="9">
        <v>241</v>
      </c>
      <c r="L130" s="9">
        <v>2023</v>
      </c>
      <c r="M130" s="8" t="s">
        <v>906</v>
      </c>
      <c r="N130" s="8" t="s">
        <v>40</v>
      </c>
      <c r="O130" s="8" t="s">
        <v>41</v>
      </c>
      <c r="P130" s="6" t="s">
        <v>42</v>
      </c>
      <c r="Q130" s="8" t="s">
        <v>43</v>
      </c>
      <c r="R130" s="10" t="s">
        <v>907</v>
      </c>
      <c r="S130" s="11" t="s">
        <v>908</v>
      </c>
      <c r="T130" s="6"/>
      <c r="U130" s="28" t="str">
        <f>HYPERLINK("https://media.infra-m.ru/2023/2023202/cover/2023202.jpg", "Обложка")</f>
        <v>Обложка</v>
      </c>
      <c r="V130" s="28" t="str">
        <f>HYPERLINK("https://znanium.com/catalog/product/1242306", "Ознакомиться")</f>
        <v>Ознакомиться</v>
      </c>
      <c r="W130" s="8" t="s">
        <v>495</v>
      </c>
      <c r="X130" s="6"/>
      <c r="Y130" s="6"/>
      <c r="Z130" s="6"/>
      <c r="AA130" s="6" t="s">
        <v>226</v>
      </c>
    </row>
    <row r="131" spans="1:27" s="4" customFormat="1" ht="51.95" customHeight="1">
      <c r="A131" s="5">
        <v>0</v>
      </c>
      <c r="B131" s="6" t="s">
        <v>909</v>
      </c>
      <c r="C131" s="13">
        <v>1694</v>
      </c>
      <c r="D131" s="8" t="s">
        <v>910</v>
      </c>
      <c r="E131" s="8" t="s">
        <v>911</v>
      </c>
      <c r="F131" s="8" t="s">
        <v>912</v>
      </c>
      <c r="G131" s="6" t="s">
        <v>52</v>
      </c>
      <c r="H131" s="6" t="s">
        <v>113</v>
      </c>
      <c r="I131" s="8" t="s">
        <v>75</v>
      </c>
      <c r="J131" s="9">
        <v>1</v>
      </c>
      <c r="K131" s="9">
        <v>369</v>
      </c>
      <c r="L131" s="9">
        <v>2024</v>
      </c>
      <c r="M131" s="8" t="s">
        <v>913</v>
      </c>
      <c r="N131" s="8" t="s">
        <v>40</v>
      </c>
      <c r="O131" s="8" t="s">
        <v>41</v>
      </c>
      <c r="P131" s="6" t="s">
        <v>42</v>
      </c>
      <c r="Q131" s="8" t="s">
        <v>43</v>
      </c>
      <c r="R131" s="10" t="s">
        <v>914</v>
      </c>
      <c r="S131" s="11" t="s">
        <v>915</v>
      </c>
      <c r="T131" s="6"/>
      <c r="U131" s="28" t="str">
        <f>HYPERLINK("https://media.infra-m.ru/2078/2078408/cover/2078408.jpg", "Обложка")</f>
        <v>Обложка</v>
      </c>
      <c r="V131" s="28" t="str">
        <f>HYPERLINK("https://znanium.com/catalog/product/1085795", "Ознакомиться")</f>
        <v>Ознакомиться</v>
      </c>
      <c r="W131" s="8" t="s">
        <v>916</v>
      </c>
      <c r="X131" s="6"/>
      <c r="Y131" s="6"/>
      <c r="Z131" s="6"/>
      <c r="AA131" s="6" t="s">
        <v>59</v>
      </c>
    </row>
    <row r="132" spans="1:27" s="4" customFormat="1" ht="51.95" customHeight="1">
      <c r="A132" s="5">
        <v>0</v>
      </c>
      <c r="B132" s="6" t="s">
        <v>917</v>
      </c>
      <c r="C132" s="7">
        <v>814.9</v>
      </c>
      <c r="D132" s="8" t="s">
        <v>918</v>
      </c>
      <c r="E132" s="8" t="s">
        <v>919</v>
      </c>
      <c r="F132" s="8" t="s">
        <v>920</v>
      </c>
      <c r="G132" s="6" t="s">
        <v>37</v>
      </c>
      <c r="H132" s="6" t="s">
        <v>113</v>
      </c>
      <c r="I132" s="8" t="s">
        <v>75</v>
      </c>
      <c r="J132" s="9">
        <v>12</v>
      </c>
      <c r="K132" s="9">
        <v>238</v>
      </c>
      <c r="L132" s="9">
        <v>2020</v>
      </c>
      <c r="M132" s="8" t="s">
        <v>921</v>
      </c>
      <c r="N132" s="8" t="s">
        <v>40</v>
      </c>
      <c r="O132" s="8" t="s">
        <v>41</v>
      </c>
      <c r="P132" s="6" t="s">
        <v>42</v>
      </c>
      <c r="Q132" s="8" t="s">
        <v>43</v>
      </c>
      <c r="R132" s="10" t="s">
        <v>914</v>
      </c>
      <c r="S132" s="11" t="s">
        <v>922</v>
      </c>
      <c r="T132" s="6" t="s">
        <v>117</v>
      </c>
      <c r="U132" s="28" t="str">
        <f>HYPERLINK("https://media.infra-m.ru/1064/1064628/cover/1064628.jpg", "Обложка")</f>
        <v>Обложка</v>
      </c>
      <c r="V132" s="28" t="str">
        <f>HYPERLINK("https://znanium.com/catalog/product/1085795", "Ознакомиться")</f>
        <v>Ознакомиться</v>
      </c>
      <c r="W132" s="8" t="s">
        <v>916</v>
      </c>
      <c r="X132" s="6"/>
      <c r="Y132" s="6"/>
      <c r="Z132" s="6"/>
      <c r="AA132" s="6" t="s">
        <v>333</v>
      </c>
    </row>
    <row r="133" spans="1:27" s="4" customFormat="1" ht="51.95" customHeight="1">
      <c r="A133" s="5">
        <v>0</v>
      </c>
      <c r="B133" s="6" t="s">
        <v>923</v>
      </c>
      <c r="C133" s="13">
        <v>1384</v>
      </c>
      <c r="D133" s="8" t="s">
        <v>924</v>
      </c>
      <c r="E133" s="8" t="s">
        <v>925</v>
      </c>
      <c r="F133" s="8" t="s">
        <v>926</v>
      </c>
      <c r="G133" s="6" t="s">
        <v>37</v>
      </c>
      <c r="H133" s="6" t="s">
        <v>38</v>
      </c>
      <c r="I133" s="8"/>
      <c r="J133" s="9">
        <v>1</v>
      </c>
      <c r="K133" s="9">
        <v>301</v>
      </c>
      <c r="L133" s="9">
        <v>2023</v>
      </c>
      <c r="M133" s="8" t="s">
        <v>927</v>
      </c>
      <c r="N133" s="8" t="s">
        <v>40</v>
      </c>
      <c r="O133" s="8" t="s">
        <v>41</v>
      </c>
      <c r="P133" s="6" t="s">
        <v>42</v>
      </c>
      <c r="Q133" s="8" t="s">
        <v>43</v>
      </c>
      <c r="R133" s="10" t="s">
        <v>928</v>
      </c>
      <c r="S133" s="11" t="s">
        <v>929</v>
      </c>
      <c r="T133" s="6"/>
      <c r="U133" s="28" t="str">
        <f>HYPERLINK("https://media.infra-m.ru/1981/1981670/cover/1981670.jpg", "Обложка")</f>
        <v>Обложка</v>
      </c>
      <c r="V133" s="28" t="str">
        <f>HYPERLINK("https://znanium.com/catalog/product/1047207", "Ознакомиться")</f>
        <v>Ознакомиться</v>
      </c>
      <c r="W133" s="8" t="s">
        <v>558</v>
      </c>
      <c r="X133" s="6"/>
      <c r="Y133" s="6"/>
      <c r="Z133" s="6"/>
      <c r="AA133" s="6" t="s">
        <v>930</v>
      </c>
    </row>
    <row r="134" spans="1:27" s="4" customFormat="1" ht="51.95" customHeight="1">
      <c r="A134" s="5">
        <v>0</v>
      </c>
      <c r="B134" s="6" t="s">
        <v>931</v>
      </c>
      <c r="C134" s="7">
        <v>974.9</v>
      </c>
      <c r="D134" s="8" t="s">
        <v>932</v>
      </c>
      <c r="E134" s="8" t="s">
        <v>933</v>
      </c>
      <c r="F134" s="8" t="s">
        <v>934</v>
      </c>
      <c r="G134" s="6" t="s">
        <v>74</v>
      </c>
      <c r="H134" s="6" t="s">
        <v>158</v>
      </c>
      <c r="I134" s="8"/>
      <c r="J134" s="9">
        <v>1</v>
      </c>
      <c r="K134" s="9">
        <v>256</v>
      </c>
      <c r="L134" s="9">
        <v>2022</v>
      </c>
      <c r="M134" s="8" t="s">
        <v>935</v>
      </c>
      <c r="N134" s="8" t="s">
        <v>40</v>
      </c>
      <c r="O134" s="8" t="s">
        <v>41</v>
      </c>
      <c r="P134" s="6" t="s">
        <v>42</v>
      </c>
      <c r="Q134" s="8" t="s">
        <v>43</v>
      </c>
      <c r="R134" s="10" t="s">
        <v>936</v>
      </c>
      <c r="S134" s="11" t="s">
        <v>937</v>
      </c>
      <c r="T134" s="6"/>
      <c r="U134" s="28" t="str">
        <f>HYPERLINK("https://media.infra-m.ru/1851/1851450/cover/1851450.jpg", "Обложка")</f>
        <v>Обложка</v>
      </c>
      <c r="V134" s="28" t="str">
        <f>HYPERLINK("https://znanium.com/catalog/product/1043139", "Ознакомиться")</f>
        <v>Ознакомиться</v>
      </c>
      <c r="W134" s="8" t="s">
        <v>88</v>
      </c>
      <c r="X134" s="6"/>
      <c r="Y134" s="6"/>
      <c r="Z134" s="6"/>
      <c r="AA134" s="6" t="s">
        <v>47</v>
      </c>
    </row>
    <row r="135" spans="1:27" s="4" customFormat="1" ht="51.95" customHeight="1">
      <c r="A135" s="5">
        <v>0</v>
      </c>
      <c r="B135" s="6" t="s">
        <v>938</v>
      </c>
      <c r="C135" s="13">
        <v>1130</v>
      </c>
      <c r="D135" s="8" t="s">
        <v>939</v>
      </c>
      <c r="E135" s="8" t="s">
        <v>940</v>
      </c>
      <c r="F135" s="8" t="s">
        <v>941</v>
      </c>
      <c r="G135" s="6" t="s">
        <v>52</v>
      </c>
      <c r="H135" s="6" t="s">
        <v>113</v>
      </c>
      <c r="I135" s="8" t="s">
        <v>248</v>
      </c>
      <c r="J135" s="9">
        <v>1</v>
      </c>
      <c r="K135" s="9">
        <v>250</v>
      </c>
      <c r="L135" s="9">
        <v>2023</v>
      </c>
      <c r="M135" s="8" t="s">
        <v>942</v>
      </c>
      <c r="N135" s="8" t="s">
        <v>40</v>
      </c>
      <c r="O135" s="8" t="s">
        <v>41</v>
      </c>
      <c r="P135" s="6" t="s">
        <v>161</v>
      </c>
      <c r="Q135" s="8" t="s">
        <v>250</v>
      </c>
      <c r="R135" s="10" t="s">
        <v>943</v>
      </c>
      <c r="S135" s="11" t="s">
        <v>944</v>
      </c>
      <c r="T135" s="6"/>
      <c r="U135" s="28" t="str">
        <f>HYPERLINK("https://media.infra-m.ru/1903/1903327/cover/1903327.jpg", "Обложка")</f>
        <v>Обложка</v>
      </c>
      <c r="V135" s="28" t="str">
        <f>HYPERLINK("https://znanium.com/catalog/product/1903327", "Ознакомиться")</f>
        <v>Ознакомиться</v>
      </c>
      <c r="W135" s="8" t="s">
        <v>46</v>
      </c>
      <c r="X135" s="6"/>
      <c r="Y135" s="6" t="s">
        <v>30</v>
      </c>
      <c r="Z135" s="6" t="s">
        <v>756</v>
      </c>
      <c r="AA135" s="6" t="s">
        <v>275</v>
      </c>
    </row>
    <row r="136" spans="1:27" s="4" customFormat="1" ht="51.95" customHeight="1">
      <c r="A136" s="5">
        <v>0</v>
      </c>
      <c r="B136" s="6" t="s">
        <v>945</v>
      </c>
      <c r="C136" s="13">
        <v>1154</v>
      </c>
      <c r="D136" s="8" t="s">
        <v>946</v>
      </c>
      <c r="E136" s="8" t="s">
        <v>940</v>
      </c>
      <c r="F136" s="8" t="s">
        <v>941</v>
      </c>
      <c r="G136" s="6" t="s">
        <v>37</v>
      </c>
      <c r="H136" s="6" t="s">
        <v>113</v>
      </c>
      <c r="I136" s="8" t="s">
        <v>368</v>
      </c>
      <c r="J136" s="9">
        <v>1</v>
      </c>
      <c r="K136" s="9">
        <v>250</v>
      </c>
      <c r="L136" s="9">
        <v>2024</v>
      </c>
      <c r="M136" s="8" t="s">
        <v>947</v>
      </c>
      <c r="N136" s="8" t="s">
        <v>40</v>
      </c>
      <c r="O136" s="8" t="s">
        <v>41</v>
      </c>
      <c r="P136" s="6" t="s">
        <v>161</v>
      </c>
      <c r="Q136" s="8" t="s">
        <v>43</v>
      </c>
      <c r="R136" s="10" t="s">
        <v>948</v>
      </c>
      <c r="S136" s="11" t="s">
        <v>949</v>
      </c>
      <c r="T136" s="6"/>
      <c r="U136" s="28" t="str">
        <f>HYPERLINK("https://media.infra-m.ru/2085/2085049/cover/2085049.jpg", "Обложка")</f>
        <v>Обложка</v>
      </c>
      <c r="V136" s="28" t="str">
        <f>HYPERLINK("https://znanium.com/catalog/product/1031122", "Ознакомиться")</f>
        <v>Ознакомиться</v>
      </c>
      <c r="W136" s="8" t="s">
        <v>46</v>
      </c>
      <c r="X136" s="6"/>
      <c r="Y136" s="6"/>
      <c r="Z136" s="6"/>
      <c r="AA136" s="6" t="s">
        <v>253</v>
      </c>
    </row>
    <row r="137" spans="1:27" s="4" customFormat="1" ht="51.95" customHeight="1">
      <c r="A137" s="5">
        <v>0</v>
      </c>
      <c r="B137" s="6" t="s">
        <v>950</v>
      </c>
      <c r="C137" s="13">
        <v>1704</v>
      </c>
      <c r="D137" s="8" t="s">
        <v>951</v>
      </c>
      <c r="E137" s="8" t="s">
        <v>940</v>
      </c>
      <c r="F137" s="8" t="s">
        <v>720</v>
      </c>
      <c r="G137" s="6" t="s">
        <v>52</v>
      </c>
      <c r="H137" s="6" t="s">
        <v>149</v>
      </c>
      <c r="I137" s="8" t="s">
        <v>64</v>
      </c>
      <c r="J137" s="9">
        <v>1</v>
      </c>
      <c r="K137" s="9">
        <v>367</v>
      </c>
      <c r="L137" s="9">
        <v>2023</v>
      </c>
      <c r="M137" s="8" t="s">
        <v>952</v>
      </c>
      <c r="N137" s="8" t="s">
        <v>40</v>
      </c>
      <c r="O137" s="8" t="s">
        <v>41</v>
      </c>
      <c r="P137" s="6" t="s">
        <v>42</v>
      </c>
      <c r="Q137" s="8" t="s">
        <v>66</v>
      </c>
      <c r="R137" s="10" t="s">
        <v>953</v>
      </c>
      <c r="S137" s="11" t="s">
        <v>151</v>
      </c>
      <c r="T137" s="6"/>
      <c r="U137" s="28" t="str">
        <f>HYPERLINK("https://media.infra-m.ru/1933/1933177/cover/1933177.jpg", "Обложка")</f>
        <v>Обложка</v>
      </c>
      <c r="V137" s="28" t="str">
        <f>HYPERLINK("https://znanium.com/catalog/product/2079929", "Ознакомиться")</f>
        <v>Ознакомиться</v>
      </c>
      <c r="W137" s="8" t="s">
        <v>204</v>
      </c>
      <c r="X137" s="6"/>
      <c r="Y137" s="6" t="s">
        <v>30</v>
      </c>
      <c r="Z137" s="6"/>
      <c r="AA137" s="6" t="s">
        <v>153</v>
      </c>
    </row>
    <row r="138" spans="1:27" s="4" customFormat="1" ht="51.95" customHeight="1">
      <c r="A138" s="5">
        <v>0</v>
      </c>
      <c r="B138" s="6" t="s">
        <v>954</v>
      </c>
      <c r="C138" s="13">
        <v>1100</v>
      </c>
      <c r="D138" s="8" t="s">
        <v>955</v>
      </c>
      <c r="E138" s="8" t="s">
        <v>940</v>
      </c>
      <c r="F138" s="8" t="s">
        <v>956</v>
      </c>
      <c r="G138" s="6" t="s">
        <v>37</v>
      </c>
      <c r="H138" s="6" t="s">
        <v>113</v>
      </c>
      <c r="I138" s="8" t="s">
        <v>64</v>
      </c>
      <c r="J138" s="9">
        <v>1</v>
      </c>
      <c r="K138" s="9">
        <v>277</v>
      </c>
      <c r="L138" s="9">
        <v>2022</v>
      </c>
      <c r="M138" s="8" t="s">
        <v>957</v>
      </c>
      <c r="N138" s="8" t="s">
        <v>40</v>
      </c>
      <c r="O138" s="8" t="s">
        <v>41</v>
      </c>
      <c r="P138" s="6" t="s">
        <v>42</v>
      </c>
      <c r="Q138" s="8" t="s">
        <v>66</v>
      </c>
      <c r="R138" s="10" t="s">
        <v>958</v>
      </c>
      <c r="S138" s="11" t="s">
        <v>959</v>
      </c>
      <c r="T138" s="6"/>
      <c r="U138" s="28" t="str">
        <f>HYPERLINK("https://media.infra-m.ru/1092/1092991/cover/1092991.jpg", "Обложка")</f>
        <v>Обложка</v>
      </c>
      <c r="V138" s="28" t="str">
        <f>HYPERLINK("https://znanium.com/catalog/product/1092991", "Ознакомиться")</f>
        <v>Ознакомиться</v>
      </c>
      <c r="W138" s="8" t="s">
        <v>960</v>
      </c>
      <c r="X138" s="6"/>
      <c r="Y138" s="6"/>
      <c r="Z138" s="6"/>
      <c r="AA138" s="6" t="s">
        <v>275</v>
      </c>
    </row>
    <row r="139" spans="1:27" s="4" customFormat="1" ht="51.95" customHeight="1">
      <c r="A139" s="5">
        <v>0</v>
      </c>
      <c r="B139" s="6" t="s">
        <v>961</v>
      </c>
      <c r="C139" s="7">
        <v>870</v>
      </c>
      <c r="D139" s="8" t="s">
        <v>962</v>
      </c>
      <c r="E139" s="8" t="s">
        <v>904</v>
      </c>
      <c r="F139" s="8" t="s">
        <v>905</v>
      </c>
      <c r="G139" s="6" t="s">
        <v>52</v>
      </c>
      <c r="H139" s="6" t="s">
        <v>113</v>
      </c>
      <c r="I139" s="8" t="s">
        <v>64</v>
      </c>
      <c r="J139" s="9">
        <v>1</v>
      </c>
      <c r="K139" s="9">
        <v>241</v>
      </c>
      <c r="L139" s="9">
        <v>2021</v>
      </c>
      <c r="M139" s="8" t="s">
        <v>963</v>
      </c>
      <c r="N139" s="8" t="s">
        <v>40</v>
      </c>
      <c r="O139" s="8" t="s">
        <v>41</v>
      </c>
      <c r="P139" s="6" t="s">
        <v>42</v>
      </c>
      <c r="Q139" s="8" t="s">
        <v>66</v>
      </c>
      <c r="R139" s="10" t="s">
        <v>964</v>
      </c>
      <c r="S139" s="11" t="s">
        <v>965</v>
      </c>
      <c r="T139" s="6"/>
      <c r="U139" s="28" t="str">
        <f>HYPERLINK("https://media.infra-m.ru/1199/1199884/cover/1199884.jpg", "Обложка")</f>
        <v>Обложка</v>
      </c>
      <c r="V139" s="28" t="str">
        <f>HYPERLINK("https://znanium.com/catalog/product/1199884", "Ознакомиться")</f>
        <v>Ознакомиться</v>
      </c>
      <c r="W139" s="8" t="s">
        <v>495</v>
      </c>
      <c r="X139" s="6"/>
      <c r="Y139" s="6"/>
      <c r="Z139" s="6" t="s">
        <v>69</v>
      </c>
      <c r="AA139" s="6" t="s">
        <v>253</v>
      </c>
    </row>
    <row r="140" spans="1:27" s="4" customFormat="1" ht="51.95" customHeight="1">
      <c r="A140" s="5">
        <v>0</v>
      </c>
      <c r="B140" s="6" t="s">
        <v>966</v>
      </c>
      <c r="C140" s="13">
        <v>1584.9</v>
      </c>
      <c r="D140" s="8" t="s">
        <v>967</v>
      </c>
      <c r="E140" s="8" t="s">
        <v>968</v>
      </c>
      <c r="F140" s="8" t="s">
        <v>969</v>
      </c>
      <c r="G140" s="6" t="s">
        <v>52</v>
      </c>
      <c r="H140" s="6" t="s">
        <v>149</v>
      </c>
      <c r="I140" s="8" t="s">
        <v>64</v>
      </c>
      <c r="J140" s="9">
        <v>1</v>
      </c>
      <c r="K140" s="9">
        <v>352</v>
      </c>
      <c r="L140" s="9">
        <v>2023</v>
      </c>
      <c r="M140" s="8" t="s">
        <v>970</v>
      </c>
      <c r="N140" s="8" t="s">
        <v>40</v>
      </c>
      <c r="O140" s="8" t="s">
        <v>41</v>
      </c>
      <c r="P140" s="6" t="s">
        <v>42</v>
      </c>
      <c r="Q140" s="8" t="s">
        <v>66</v>
      </c>
      <c r="R140" s="10" t="s">
        <v>971</v>
      </c>
      <c r="S140" s="11" t="s">
        <v>972</v>
      </c>
      <c r="T140" s="6"/>
      <c r="U140" s="28" t="str">
        <f>HYPERLINK("https://media.infra-m.ru/1998/1998745/cover/1998745.jpg", "Обложка")</f>
        <v>Обложка</v>
      </c>
      <c r="V140" s="28" t="str">
        <f>HYPERLINK("https://znanium.com/catalog/product/1541012", "Ознакомиться")</f>
        <v>Ознакомиться</v>
      </c>
      <c r="W140" s="8" t="s">
        <v>204</v>
      </c>
      <c r="X140" s="6"/>
      <c r="Y140" s="6"/>
      <c r="Z140" s="6" t="s">
        <v>69</v>
      </c>
      <c r="AA140" s="6" t="s">
        <v>253</v>
      </c>
    </row>
    <row r="141" spans="1:27" s="4" customFormat="1" ht="51.95" customHeight="1">
      <c r="A141" s="5">
        <v>0</v>
      </c>
      <c r="B141" s="6" t="s">
        <v>973</v>
      </c>
      <c r="C141" s="13">
        <v>1614</v>
      </c>
      <c r="D141" s="8" t="s">
        <v>974</v>
      </c>
      <c r="E141" s="8" t="s">
        <v>968</v>
      </c>
      <c r="F141" s="8" t="s">
        <v>720</v>
      </c>
      <c r="G141" s="6" t="s">
        <v>52</v>
      </c>
      <c r="H141" s="6" t="s">
        <v>149</v>
      </c>
      <c r="I141" s="8" t="s">
        <v>75</v>
      </c>
      <c r="J141" s="9">
        <v>1</v>
      </c>
      <c r="K141" s="9">
        <v>352</v>
      </c>
      <c r="L141" s="9">
        <v>2023</v>
      </c>
      <c r="M141" s="8" t="s">
        <v>975</v>
      </c>
      <c r="N141" s="8" t="s">
        <v>40</v>
      </c>
      <c r="O141" s="8" t="s">
        <v>41</v>
      </c>
      <c r="P141" s="6" t="s">
        <v>42</v>
      </c>
      <c r="Q141" s="8" t="s">
        <v>43</v>
      </c>
      <c r="R141" s="10" t="s">
        <v>976</v>
      </c>
      <c r="S141" s="11" t="s">
        <v>977</v>
      </c>
      <c r="T141" s="6"/>
      <c r="U141" s="28" t="str">
        <f>HYPERLINK("https://media.infra-m.ru/2110/2110483/cover/2110483.jpg", "Обложка")</f>
        <v>Обложка</v>
      </c>
      <c r="V141" s="28" t="str">
        <f>HYPERLINK("https://znanium.com/catalog/product/1913829", "Ознакомиться")</f>
        <v>Ознакомиться</v>
      </c>
      <c r="W141" s="8" t="s">
        <v>204</v>
      </c>
      <c r="X141" s="6"/>
      <c r="Y141" s="6"/>
      <c r="Z141" s="6"/>
      <c r="AA141" s="6" t="s">
        <v>205</v>
      </c>
    </row>
    <row r="142" spans="1:27" s="4" customFormat="1" ht="51.95" customHeight="1">
      <c r="A142" s="5">
        <v>0</v>
      </c>
      <c r="B142" s="6" t="s">
        <v>978</v>
      </c>
      <c r="C142" s="13">
        <v>1074</v>
      </c>
      <c r="D142" s="8" t="s">
        <v>979</v>
      </c>
      <c r="E142" s="8" t="s">
        <v>980</v>
      </c>
      <c r="F142" s="8" t="s">
        <v>981</v>
      </c>
      <c r="G142" s="6" t="s">
        <v>52</v>
      </c>
      <c r="H142" s="6" t="s">
        <v>113</v>
      </c>
      <c r="I142" s="8" t="s">
        <v>75</v>
      </c>
      <c r="J142" s="9">
        <v>1</v>
      </c>
      <c r="K142" s="9">
        <v>232</v>
      </c>
      <c r="L142" s="9">
        <v>2024</v>
      </c>
      <c r="M142" s="8" t="s">
        <v>982</v>
      </c>
      <c r="N142" s="8" t="s">
        <v>40</v>
      </c>
      <c r="O142" s="8" t="s">
        <v>41</v>
      </c>
      <c r="P142" s="6" t="s">
        <v>42</v>
      </c>
      <c r="Q142" s="8" t="s">
        <v>43</v>
      </c>
      <c r="R142" s="10" t="s">
        <v>948</v>
      </c>
      <c r="S142" s="11" t="s">
        <v>983</v>
      </c>
      <c r="T142" s="6"/>
      <c r="U142" s="28" t="str">
        <f>HYPERLINK("https://media.infra-m.ru/2086/2086805/cover/2086805.jpg", "Обложка")</f>
        <v>Обложка</v>
      </c>
      <c r="V142" s="28" t="str">
        <f>HYPERLINK("https://znanium.com/catalog/product/2000879", "Ознакомиться")</f>
        <v>Ознакомиться</v>
      </c>
      <c r="W142" s="8" t="s">
        <v>984</v>
      </c>
      <c r="X142" s="6"/>
      <c r="Y142" s="6"/>
      <c r="Z142" s="6"/>
      <c r="AA142" s="6" t="s">
        <v>702</v>
      </c>
    </row>
    <row r="143" spans="1:27" s="4" customFormat="1" ht="51.95" customHeight="1">
      <c r="A143" s="5">
        <v>0</v>
      </c>
      <c r="B143" s="6" t="s">
        <v>985</v>
      </c>
      <c r="C143" s="13">
        <v>1694</v>
      </c>
      <c r="D143" s="8" t="s">
        <v>986</v>
      </c>
      <c r="E143" s="8" t="s">
        <v>987</v>
      </c>
      <c r="F143" s="8" t="s">
        <v>988</v>
      </c>
      <c r="G143" s="6" t="s">
        <v>52</v>
      </c>
      <c r="H143" s="6" t="s">
        <v>149</v>
      </c>
      <c r="I143" s="8" t="s">
        <v>75</v>
      </c>
      <c r="J143" s="9">
        <v>1</v>
      </c>
      <c r="K143" s="9">
        <v>368</v>
      </c>
      <c r="L143" s="9">
        <v>2024</v>
      </c>
      <c r="M143" s="8" t="s">
        <v>989</v>
      </c>
      <c r="N143" s="8" t="s">
        <v>40</v>
      </c>
      <c r="O143" s="8" t="s">
        <v>41</v>
      </c>
      <c r="P143" s="6" t="s">
        <v>161</v>
      </c>
      <c r="Q143" s="8" t="s">
        <v>43</v>
      </c>
      <c r="R143" s="10" t="s">
        <v>990</v>
      </c>
      <c r="S143" s="11" t="s">
        <v>991</v>
      </c>
      <c r="T143" s="6"/>
      <c r="U143" s="28" t="str">
        <f>HYPERLINK("https://media.infra-m.ru/2056/2056661/cover/2056661.jpg", "Обложка")</f>
        <v>Обложка</v>
      </c>
      <c r="V143" s="28" t="str">
        <f>HYPERLINK("https://znanium.com/catalog/product/2000876", "Ознакомиться")</f>
        <v>Ознакомиться</v>
      </c>
      <c r="W143" s="8" t="s">
        <v>88</v>
      </c>
      <c r="X143" s="6"/>
      <c r="Y143" s="6"/>
      <c r="Z143" s="6"/>
      <c r="AA143" s="6" t="s">
        <v>930</v>
      </c>
    </row>
    <row r="144" spans="1:27" s="4" customFormat="1" ht="51.95" customHeight="1">
      <c r="A144" s="5">
        <v>0</v>
      </c>
      <c r="B144" s="6" t="s">
        <v>992</v>
      </c>
      <c r="C144" s="13">
        <v>1550</v>
      </c>
      <c r="D144" s="8" t="s">
        <v>993</v>
      </c>
      <c r="E144" s="8" t="s">
        <v>994</v>
      </c>
      <c r="F144" s="8" t="s">
        <v>995</v>
      </c>
      <c r="G144" s="6" t="s">
        <v>74</v>
      </c>
      <c r="H144" s="6" t="s">
        <v>83</v>
      </c>
      <c r="I144" s="8" t="s">
        <v>75</v>
      </c>
      <c r="J144" s="9">
        <v>1</v>
      </c>
      <c r="K144" s="9">
        <v>344</v>
      </c>
      <c r="L144" s="9">
        <v>2020</v>
      </c>
      <c r="M144" s="8" t="s">
        <v>996</v>
      </c>
      <c r="N144" s="8" t="s">
        <v>40</v>
      </c>
      <c r="O144" s="8" t="s">
        <v>41</v>
      </c>
      <c r="P144" s="6" t="s">
        <v>42</v>
      </c>
      <c r="Q144" s="8" t="s">
        <v>43</v>
      </c>
      <c r="R144" s="10" t="s">
        <v>230</v>
      </c>
      <c r="S144" s="11" t="s">
        <v>997</v>
      </c>
      <c r="T144" s="6"/>
      <c r="U144" s="28" t="str">
        <f>HYPERLINK("https://media.infra-m.ru/1960/1960155/cover/1960155.jpg", "Обложка")</f>
        <v>Обложка</v>
      </c>
      <c r="V144" s="28" t="str">
        <f>HYPERLINK("https://znanium.com/catalog/product/1931479", "Ознакомиться")</f>
        <v>Ознакомиться</v>
      </c>
      <c r="W144" s="8" t="s">
        <v>796</v>
      </c>
      <c r="X144" s="6"/>
      <c r="Y144" s="6"/>
      <c r="Z144" s="6"/>
      <c r="AA144" s="6" t="s">
        <v>47</v>
      </c>
    </row>
    <row r="145" spans="1:27" s="4" customFormat="1" ht="42" customHeight="1">
      <c r="A145" s="5">
        <v>0</v>
      </c>
      <c r="B145" s="6" t="s">
        <v>998</v>
      </c>
      <c r="C145" s="13">
        <v>1170</v>
      </c>
      <c r="D145" s="8" t="s">
        <v>999</v>
      </c>
      <c r="E145" s="8" t="s">
        <v>994</v>
      </c>
      <c r="F145" s="8" t="s">
        <v>995</v>
      </c>
      <c r="G145" s="6" t="s">
        <v>37</v>
      </c>
      <c r="H145" s="6" t="s">
        <v>83</v>
      </c>
      <c r="I145" s="8" t="s">
        <v>84</v>
      </c>
      <c r="J145" s="9">
        <v>1</v>
      </c>
      <c r="K145" s="9">
        <v>344</v>
      </c>
      <c r="L145" s="9">
        <v>2020</v>
      </c>
      <c r="M145" s="8" t="s">
        <v>1000</v>
      </c>
      <c r="N145" s="8" t="s">
        <v>40</v>
      </c>
      <c r="O145" s="8" t="s">
        <v>41</v>
      </c>
      <c r="P145" s="6" t="s">
        <v>42</v>
      </c>
      <c r="Q145" s="8" t="s">
        <v>66</v>
      </c>
      <c r="R145" s="10" t="s">
        <v>971</v>
      </c>
      <c r="S145" s="11"/>
      <c r="T145" s="6" t="s">
        <v>117</v>
      </c>
      <c r="U145" s="28" t="str">
        <f>HYPERLINK("https://media.infra-m.ru/1043/1043097/cover/1043097.jpg", "Обложка")</f>
        <v>Обложка</v>
      </c>
      <c r="V145" s="28" t="str">
        <f>HYPERLINK("https://znanium.com/catalog/product/1902847", "Ознакомиться")</f>
        <v>Ознакомиться</v>
      </c>
      <c r="W145" s="8" t="s">
        <v>796</v>
      </c>
      <c r="X145" s="6"/>
      <c r="Y145" s="6"/>
      <c r="Z145" s="6" t="s">
        <v>69</v>
      </c>
      <c r="AA145" s="6" t="s">
        <v>253</v>
      </c>
    </row>
    <row r="146" spans="1:27" s="4" customFormat="1" ht="51.95" customHeight="1">
      <c r="A146" s="5">
        <v>0</v>
      </c>
      <c r="B146" s="6" t="s">
        <v>1001</v>
      </c>
      <c r="C146" s="13">
        <v>1030</v>
      </c>
      <c r="D146" s="8" t="s">
        <v>1002</v>
      </c>
      <c r="E146" s="8" t="s">
        <v>1003</v>
      </c>
      <c r="F146" s="8" t="s">
        <v>1004</v>
      </c>
      <c r="G146" s="6" t="s">
        <v>52</v>
      </c>
      <c r="H146" s="6" t="s">
        <v>83</v>
      </c>
      <c r="I146" s="8" t="s">
        <v>54</v>
      </c>
      <c r="J146" s="9">
        <v>1</v>
      </c>
      <c r="K146" s="9">
        <v>284</v>
      </c>
      <c r="L146" s="9">
        <v>2021</v>
      </c>
      <c r="M146" s="8" t="s">
        <v>1005</v>
      </c>
      <c r="N146" s="8" t="s">
        <v>40</v>
      </c>
      <c r="O146" s="8" t="s">
        <v>41</v>
      </c>
      <c r="P146" s="6" t="s">
        <v>42</v>
      </c>
      <c r="Q146" s="8" t="s">
        <v>43</v>
      </c>
      <c r="R146" s="10" t="s">
        <v>1006</v>
      </c>
      <c r="S146" s="11"/>
      <c r="T146" s="6"/>
      <c r="U146" s="28" t="str">
        <f>HYPERLINK("https://media.infra-m.ru/1215/1215133/cover/1215133.jpg", "Обложка")</f>
        <v>Обложка</v>
      </c>
      <c r="V146" s="28" t="str">
        <f>HYPERLINK("https://znanium.com/catalog/product/1215133", "Ознакомиться")</f>
        <v>Ознакомиться</v>
      </c>
      <c r="W146" s="8" t="s">
        <v>143</v>
      </c>
      <c r="X146" s="6"/>
      <c r="Y146" s="6"/>
      <c r="Z146" s="6"/>
      <c r="AA146" s="6" t="s">
        <v>108</v>
      </c>
    </row>
    <row r="147" spans="1:27" s="4" customFormat="1" ht="51.95" customHeight="1">
      <c r="A147" s="5">
        <v>0</v>
      </c>
      <c r="B147" s="6" t="s">
        <v>1007</v>
      </c>
      <c r="C147" s="13">
        <v>2724</v>
      </c>
      <c r="D147" s="8" t="s">
        <v>1008</v>
      </c>
      <c r="E147" s="8" t="s">
        <v>1009</v>
      </c>
      <c r="F147" s="8" t="s">
        <v>746</v>
      </c>
      <c r="G147" s="6" t="s">
        <v>52</v>
      </c>
      <c r="H147" s="6" t="s">
        <v>149</v>
      </c>
      <c r="I147" s="8" t="s">
        <v>75</v>
      </c>
      <c r="J147" s="9">
        <v>1</v>
      </c>
      <c r="K147" s="9">
        <v>592</v>
      </c>
      <c r="L147" s="9">
        <v>2024</v>
      </c>
      <c r="M147" s="8" t="s">
        <v>1010</v>
      </c>
      <c r="N147" s="8" t="s">
        <v>40</v>
      </c>
      <c r="O147" s="8" t="s">
        <v>41</v>
      </c>
      <c r="P147" s="6" t="s">
        <v>42</v>
      </c>
      <c r="Q147" s="8" t="s">
        <v>43</v>
      </c>
      <c r="R147" s="10" t="s">
        <v>1011</v>
      </c>
      <c r="S147" s="11" t="s">
        <v>1012</v>
      </c>
      <c r="T147" s="6"/>
      <c r="U147" s="28" t="str">
        <f>HYPERLINK("https://media.infra-m.ru/2073/2073500/cover/2073500.jpg", "Обложка")</f>
        <v>Обложка</v>
      </c>
      <c r="V147" s="28" t="str">
        <f>HYPERLINK("https://znanium.com/catalog/product/1843022", "Ознакомиться")</f>
        <v>Ознакомиться</v>
      </c>
      <c r="W147" s="8" t="s">
        <v>204</v>
      </c>
      <c r="X147" s="6"/>
      <c r="Y147" s="6"/>
      <c r="Z147" s="6"/>
      <c r="AA147" s="6" t="s">
        <v>333</v>
      </c>
    </row>
    <row r="148" spans="1:27" s="4" customFormat="1" ht="51.95" customHeight="1">
      <c r="A148" s="5">
        <v>0</v>
      </c>
      <c r="B148" s="6" t="s">
        <v>1013</v>
      </c>
      <c r="C148" s="13">
        <v>1810</v>
      </c>
      <c r="D148" s="8" t="s">
        <v>1014</v>
      </c>
      <c r="E148" s="8" t="s">
        <v>1015</v>
      </c>
      <c r="F148" s="8" t="s">
        <v>1016</v>
      </c>
      <c r="G148" s="6" t="s">
        <v>52</v>
      </c>
      <c r="H148" s="6" t="s">
        <v>149</v>
      </c>
      <c r="I148" s="8" t="s">
        <v>64</v>
      </c>
      <c r="J148" s="9">
        <v>1</v>
      </c>
      <c r="K148" s="9">
        <v>400</v>
      </c>
      <c r="L148" s="9">
        <v>2023</v>
      </c>
      <c r="M148" s="8" t="s">
        <v>1017</v>
      </c>
      <c r="N148" s="8" t="s">
        <v>40</v>
      </c>
      <c r="O148" s="8" t="s">
        <v>41</v>
      </c>
      <c r="P148" s="6" t="s">
        <v>42</v>
      </c>
      <c r="Q148" s="8" t="s">
        <v>66</v>
      </c>
      <c r="R148" s="10" t="s">
        <v>1018</v>
      </c>
      <c r="S148" s="11" t="s">
        <v>1019</v>
      </c>
      <c r="T148" s="6" t="s">
        <v>117</v>
      </c>
      <c r="U148" s="28" t="str">
        <f>HYPERLINK("https://media.infra-m.ru/1905/1905248/cover/1905248.jpg", "Обложка")</f>
        <v>Обложка</v>
      </c>
      <c r="V148" s="28" t="str">
        <f>HYPERLINK("https://znanium.com/catalog/product/1905248", "Ознакомиться")</f>
        <v>Ознакомиться</v>
      </c>
      <c r="W148" s="8" t="s">
        <v>1020</v>
      </c>
      <c r="X148" s="6"/>
      <c r="Y148" s="6"/>
      <c r="Z148" s="6" t="s">
        <v>69</v>
      </c>
      <c r="AA148" s="6" t="s">
        <v>120</v>
      </c>
    </row>
    <row r="149" spans="1:27" s="4" customFormat="1" ht="51.95" customHeight="1">
      <c r="A149" s="5">
        <v>0</v>
      </c>
      <c r="B149" s="6" t="s">
        <v>1021</v>
      </c>
      <c r="C149" s="13">
        <v>1840</v>
      </c>
      <c r="D149" s="8" t="s">
        <v>1022</v>
      </c>
      <c r="E149" s="8" t="s">
        <v>1015</v>
      </c>
      <c r="F149" s="8" t="s">
        <v>1016</v>
      </c>
      <c r="G149" s="6" t="s">
        <v>52</v>
      </c>
      <c r="H149" s="6" t="s">
        <v>149</v>
      </c>
      <c r="I149" s="8" t="s">
        <v>54</v>
      </c>
      <c r="J149" s="9">
        <v>1</v>
      </c>
      <c r="K149" s="9">
        <v>400</v>
      </c>
      <c r="L149" s="9">
        <v>2024</v>
      </c>
      <c r="M149" s="8" t="s">
        <v>1023</v>
      </c>
      <c r="N149" s="8" t="s">
        <v>40</v>
      </c>
      <c r="O149" s="8" t="s">
        <v>41</v>
      </c>
      <c r="P149" s="6" t="s">
        <v>42</v>
      </c>
      <c r="Q149" s="8" t="s">
        <v>43</v>
      </c>
      <c r="R149" s="10" t="s">
        <v>1024</v>
      </c>
      <c r="S149" s="11" t="s">
        <v>1025</v>
      </c>
      <c r="T149" s="6" t="s">
        <v>117</v>
      </c>
      <c r="U149" s="28" t="str">
        <f>HYPERLINK("https://media.infra-m.ru/2111/2111907/cover/2111907.jpg", "Обложка")</f>
        <v>Обложка</v>
      </c>
      <c r="V149" s="28" t="str">
        <f>HYPERLINK("https://znanium.com/catalog/product/2111907", "Ознакомиться")</f>
        <v>Ознакомиться</v>
      </c>
      <c r="W149" s="8" t="s">
        <v>1020</v>
      </c>
      <c r="X149" s="6"/>
      <c r="Y149" s="6"/>
      <c r="Z149" s="6"/>
      <c r="AA149" s="6" t="s">
        <v>47</v>
      </c>
    </row>
    <row r="150" spans="1:27" s="4" customFormat="1" ht="51.95" customHeight="1">
      <c r="A150" s="5">
        <v>0</v>
      </c>
      <c r="B150" s="6" t="s">
        <v>1026</v>
      </c>
      <c r="C150" s="7">
        <v>594.9</v>
      </c>
      <c r="D150" s="8" t="s">
        <v>1027</v>
      </c>
      <c r="E150" s="8" t="s">
        <v>1028</v>
      </c>
      <c r="F150" s="8" t="s">
        <v>1029</v>
      </c>
      <c r="G150" s="6" t="s">
        <v>37</v>
      </c>
      <c r="H150" s="6" t="s">
        <v>113</v>
      </c>
      <c r="I150" s="8" t="s">
        <v>467</v>
      </c>
      <c r="J150" s="9">
        <v>1</v>
      </c>
      <c r="K150" s="9">
        <v>132</v>
      </c>
      <c r="L150" s="9">
        <v>2023</v>
      </c>
      <c r="M150" s="8" t="s">
        <v>1030</v>
      </c>
      <c r="N150" s="8" t="s">
        <v>40</v>
      </c>
      <c r="O150" s="8" t="s">
        <v>41</v>
      </c>
      <c r="P150" s="6" t="s">
        <v>42</v>
      </c>
      <c r="Q150" s="8" t="s">
        <v>485</v>
      </c>
      <c r="R150" s="10" t="s">
        <v>1031</v>
      </c>
      <c r="S150" s="11" t="s">
        <v>1032</v>
      </c>
      <c r="T150" s="6" t="s">
        <v>117</v>
      </c>
      <c r="U150" s="28" t="str">
        <f>HYPERLINK("https://media.infra-m.ru/2021/2021439/cover/2021439.jpg", "Обложка")</f>
        <v>Обложка</v>
      </c>
      <c r="V150" s="28" t="str">
        <f>HYPERLINK("https://znanium.com/catalog/product/972303", "Ознакомиться")</f>
        <v>Ознакомиться</v>
      </c>
      <c r="W150" s="8" t="s">
        <v>304</v>
      </c>
      <c r="X150" s="6"/>
      <c r="Y150" s="6"/>
      <c r="Z150" s="6"/>
      <c r="AA150" s="6" t="s">
        <v>120</v>
      </c>
    </row>
    <row r="151" spans="1:27" s="4" customFormat="1" ht="51.95" customHeight="1">
      <c r="A151" s="5">
        <v>0</v>
      </c>
      <c r="B151" s="6" t="s">
        <v>1033</v>
      </c>
      <c r="C151" s="7">
        <v>667</v>
      </c>
      <c r="D151" s="8" t="s">
        <v>1034</v>
      </c>
      <c r="E151" s="8" t="s">
        <v>1035</v>
      </c>
      <c r="F151" s="8" t="s">
        <v>1036</v>
      </c>
      <c r="G151" s="6" t="s">
        <v>74</v>
      </c>
      <c r="H151" s="6" t="s">
        <v>53</v>
      </c>
      <c r="I151" s="8" t="s">
        <v>75</v>
      </c>
      <c r="J151" s="9">
        <v>1</v>
      </c>
      <c r="K151" s="9">
        <v>112</v>
      </c>
      <c r="L151" s="9">
        <v>2023</v>
      </c>
      <c r="M151" s="8" t="s">
        <v>1037</v>
      </c>
      <c r="N151" s="8" t="s">
        <v>40</v>
      </c>
      <c r="O151" s="8" t="s">
        <v>41</v>
      </c>
      <c r="P151" s="6" t="s">
        <v>42</v>
      </c>
      <c r="Q151" s="8" t="s">
        <v>43</v>
      </c>
      <c r="R151" s="10" t="s">
        <v>1038</v>
      </c>
      <c r="S151" s="11" t="s">
        <v>1039</v>
      </c>
      <c r="T151" s="6"/>
      <c r="U151" s="28" t="str">
        <f>HYPERLINK("https://media.infra-m.ru/2029/2029813/cover/2029813.jpg", "Обложка")</f>
        <v>Обложка</v>
      </c>
      <c r="V151" s="28" t="str">
        <f>HYPERLINK("https://znanium.com/catalog/product/1816814", "Ознакомиться")</f>
        <v>Ознакомиться</v>
      </c>
      <c r="W151" s="8" t="s">
        <v>220</v>
      </c>
      <c r="X151" s="6"/>
      <c r="Y151" s="6"/>
      <c r="Z151" s="6"/>
      <c r="AA151" s="6" t="s">
        <v>78</v>
      </c>
    </row>
    <row r="152" spans="1:27" s="4" customFormat="1" ht="51.95" customHeight="1">
      <c r="A152" s="5">
        <v>0</v>
      </c>
      <c r="B152" s="6" t="s">
        <v>1040</v>
      </c>
      <c r="C152" s="13">
        <v>1254.9000000000001</v>
      </c>
      <c r="D152" s="8" t="s">
        <v>1041</v>
      </c>
      <c r="E152" s="8" t="s">
        <v>1042</v>
      </c>
      <c r="F152" s="8" t="s">
        <v>1043</v>
      </c>
      <c r="G152" s="6" t="s">
        <v>52</v>
      </c>
      <c r="H152" s="6" t="s">
        <v>158</v>
      </c>
      <c r="I152" s="8" t="s">
        <v>54</v>
      </c>
      <c r="J152" s="9">
        <v>1</v>
      </c>
      <c r="K152" s="9">
        <v>263</v>
      </c>
      <c r="L152" s="9">
        <v>2023</v>
      </c>
      <c r="M152" s="8" t="s">
        <v>1044</v>
      </c>
      <c r="N152" s="8" t="s">
        <v>40</v>
      </c>
      <c r="O152" s="8" t="s">
        <v>41</v>
      </c>
      <c r="P152" s="6" t="s">
        <v>161</v>
      </c>
      <c r="Q152" s="8" t="s">
        <v>43</v>
      </c>
      <c r="R152" s="10" t="s">
        <v>1045</v>
      </c>
      <c r="S152" s="11" t="s">
        <v>1046</v>
      </c>
      <c r="T152" s="6"/>
      <c r="U152" s="28" t="str">
        <f>HYPERLINK("https://media.infra-m.ru/1940/1940012/cover/1940012.jpg", "Обложка")</f>
        <v>Обложка</v>
      </c>
      <c r="V152" s="28" t="str">
        <f>HYPERLINK("https://znanium.com/catalog/product/1896364", "Ознакомиться")</f>
        <v>Ознакомиться</v>
      </c>
      <c r="W152" s="8" t="s">
        <v>304</v>
      </c>
      <c r="X152" s="6"/>
      <c r="Y152" s="6"/>
      <c r="Z152" s="6"/>
      <c r="AA152" s="6" t="s">
        <v>144</v>
      </c>
    </row>
    <row r="153" spans="1:27" s="4" customFormat="1" ht="51.95" customHeight="1">
      <c r="A153" s="5">
        <v>0</v>
      </c>
      <c r="B153" s="6" t="s">
        <v>1047</v>
      </c>
      <c r="C153" s="13">
        <v>1114</v>
      </c>
      <c r="D153" s="8" t="s">
        <v>1048</v>
      </c>
      <c r="E153" s="8" t="s">
        <v>1049</v>
      </c>
      <c r="F153" s="8" t="s">
        <v>1050</v>
      </c>
      <c r="G153" s="6" t="s">
        <v>37</v>
      </c>
      <c r="H153" s="6" t="s">
        <v>113</v>
      </c>
      <c r="I153" s="8" t="s">
        <v>75</v>
      </c>
      <c r="J153" s="9">
        <v>1</v>
      </c>
      <c r="K153" s="9">
        <v>240</v>
      </c>
      <c r="L153" s="9">
        <v>2024</v>
      </c>
      <c r="M153" s="8" t="s">
        <v>1051</v>
      </c>
      <c r="N153" s="8" t="s">
        <v>40</v>
      </c>
      <c r="O153" s="8" t="s">
        <v>41</v>
      </c>
      <c r="P153" s="6" t="s">
        <v>42</v>
      </c>
      <c r="Q153" s="8" t="s">
        <v>43</v>
      </c>
      <c r="R153" s="10" t="s">
        <v>1052</v>
      </c>
      <c r="S153" s="11" t="s">
        <v>1053</v>
      </c>
      <c r="T153" s="6"/>
      <c r="U153" s="28" t="str">
        <f>HYPERLINK("https://media.infra-m.ru/2059/2059560/cover/2059560.jpg", "Обложка")</f>
        <v>Обложка</v>
      </c>
      <c r="V153" s="28" t="str">
        <f>HYPERLINK("https://znanium.com/catalog/product/1078363", "Ознакомиться")</f>
        <v>Ознакомиться</v>
      </c>
      <c r="W153" s="8" t="s">
        <v>1054</v>
      </c>
      <c r="X153" s="6"/>
      <c r="Y153" s="6"/>
      <c r="Z153" s="6"/>
      <c r="AA153" s="6" t="s">
        <v>78</v>
      </c>
    </row>
    <row r="154" spans="1:27" s="4" customFormat="1" ht="51.95" customHeight="1">
      <c r="A154" s="5">
        <v>0</v>
      </c>
      <c r="B154" s="6" t="s">
        <v>1055</v>
      </c>
      <c r="C154" s="7">
        <v>880</v>
      </c>
      <c r="D154" s="8" t="s">
        <v>1056</v>
      </c>
      <c r="E154" s="8" t="s">
        <v>1057</v>
      </c>
      <c r="F154" s="8" t="s">
        <v>1058</v>
      </c>
      <c r="G154" s="6" t="s">
        <v>52</v>
      </c>
      <c r="H154" s="6" t="s">
        <v>53</v>
      </c>
      <c r="I154" s="8" t="s">
        <v>64</v>
      </c>
      <c r="J154" s="9">
        <v>1</v>
      </c>
      <c r="K154" s="9">
        <v>190</v>
      </c>
      <c r="L154" s="9">
        <v>2024</v>
      </c>
      <c r="M154" s="8" t="s">
        <v>1059</v>
      </c>
      <c r="N154" s="8" t="s">
        <v>40</v>
      </c>
      <c r="O154" s="8" t="s">
        <v>41</v>
      </c>
      <c r="P154" s="6" t="s">
        <v>42</v>
      </c>
      <c r="Q154" s="8" t="s">
        <v>66</v>
      </c>
      <c r="R154" s="10" t="s">
        <v>95</v>
      </c>
      <c r="S154" s="11" t="s">
        <v>1060</v>
      </c>
      <c r="T154" s="6"/>
      <c r="U154" s="28" t="str">
        <f>HYPERLINK("https://media.infra-m.ru/2096/2096763/cover/2096763.jpg", "Обложка")</f>
        <v>Обложка</v>
      </c>
      <c r="V154" s="28" t="str">
        <f>HYPERLINK("https://znanium.com/catalog/product/2096763", "Ознакомиться")</f>
        <v>Ознакомиться</v>
      </c>
      <c r="W154" s="8" t="s">
        <v>1061</v>
      </c>
      <c r="X154" s="6"/>
      <c r="Y154" s="6"/>
      <c r="Z154" s="6"/>
      <c r="AA154" s="6" t="s">
        <v>1062</v>
      </c>
    </row>
    <row r="155" spans="1:27" s="4" customFormat="1" ht="51.95" customHeight="1">
      <c r="A155" s="5">
        <v>0</v>
      </c>
      <c r="B155" s="6" t="s">
        <v>1063</v>
      </c>
      <c r="C155" s="13">
        <v>2130</v>
      </c>
      <c r="D155" s="8" t="s">
        <v>1064</v>
      </c>
      <c r="E155" s="8" t="s">
        <v>1065</v>
      </c>
      <c r="F155" s="8" t="s">
        <v>1066</v>
      </c>
      <c r="G155" s="6" t="s">
        <v>37</v>
      </c>
      <c r="H155" s="6" t="s">
        <v>53</v>
      </c>
      <c r="I155" s="8" t="s">
        <v>64</v>
      </c>
      <c r="J155" s="9">
        <v>1</v>
      </c>
      <c r="K155" s="9">
        <v>464</v>
      </c>
      <c r="L155" s="9">
        <v>2024</v>
      </c>
      <c r="M155" s="8" t="s">
        <v>1067</v>
      </c>
      <c r="N155" s="8" t="s">
        <v>40</v>
      </c>
      <c r="O155" s="8" t="s">
        <v>41</v>
      </c>
      <c r="P155" s="6" t="s">
        <v>42</v>
      </c>
      <c r="Q155" s="8" t="s">
        <v>66</v>
      </c>
      <c r="R155" s="10" t="s">
        <v>1068</v>
      </c>
      <c r="S155" s="11" t="s">
        <v>1069</v>
      </c>
      <c r="T155" s="6"/>
      <c r="U155" s="28" t="str">
        <f>HYPERLINK("https://media.infra-m.ru/2122/2122501/cover/2122501.jpg", "Обложка")</f>
        <v>Обложка</v>
      </c>
      <c r="V155" s="28" t="str">
        <f>HYPERLINK("https://znanium.com/catalog/product/2122501", "Ознакомиться")</f>
        <v>Ознакомиться</v>
      </c>
      <c r="W155" s="8" t="s">
        <v>189</v>
      </c>
      <c r="X155" s="6"/>
      <c r="Y155" s="6"/>
      <c r="Z155" s="6"/>
      <c r="AA155" s="6" t="s">
        <v>1070</v>
      </c>
    </row>
    <row r="156" spans="1:27" s="4" customFormat="1" ht="42" customHeight="1">
      <c r="A156" s="5">
        <v>0</v>
      </c>
      <c r="B156" s="6" t="s">
        <v>1071</v>
      </c>
      <c r="C156" s="13">
        <v>1300</v>
      </c>
      <c r="D156" s="8" t="s">
        <v>1072</v>
      </c>
      <c r="E156" s="8" t="s">
        <v>1073</v>
      </c>
      <c r="F156" s="8" t="s">
        <v>1074</v>
      </c>
      <c r="G156" s="6" t="s">
        <v>37</v>
      </c>
      <c r="H156" s="6" t="s">
        <v>113</v>
      </c>
      <c r="I156" s="8" t="s">
        <v>467</v>
      </c>
      <c r="J156" s="9">
        <v>1</v>
      </c>
      <c r="K156" s="9">
        <v>280</v>
      </c>
      <c r="L156" s="9">
        <v>2023</v>
      </c>
      <c r="M156" s="8" t="s">
        <v>1075</v>
      </c>
      <c r="N156" s="8" t="s">
        <v>40</v>
      </c>
      <c r="O156" s="8" t="s">
        <v>41</v>
      </c>
      <c r="P156" s="6" t="s">
        <v>161</v>
      </c>
      <c r="Q156" s="8" t="s">
        <v>485</v>
      </c>
      <c r="R156" s="10" t="s">
        <v>1076</v>
      </c>
      <c r="S156" s="11"/>
      <c r="T156" s="6"/>
      <c r="U156" s="28" t="str">
        <f>HYPERLINK("https://media.infra-m.ru/1860/1860651/cover/1860651.jpg", "Обложка")</f>
        <v>Обложка</v>
      </c>
      <c r="V156" s="28" t="str">
        <f>HYPERLINK("https://znanium.com/catalog/product/1860651", "Ознакомиться")</f>
        <v>Ознакомиться</v>
      </c>
      <c r="W156" s="8" t="s">
        <v>1077</v>
      </c>
      <c r="X156" s="6" t="s">
        <v>1078</v>
      </c>
      <c r="Y156" s="6"/>
      <c r="Z156" s="6"/>
      <c r="AA156" s="6" t="s">
        <v>687</v>
      </c>
    </row>
    <row r="157" spans="1:27" s="4" customFormat="1" ht="42" customHeight="1">
      <c r="A157" s="5">
        <v>0</v>
      </c>
      <c r="B157" s="6" t="s">
        <v>1079</v>
      </c>
      <c r="C157" s="7">
        <v>814</v>
      </c>
      <c r="D157" s="8" t="s">
        <v>1080</v>
      </c>
      <c r="E157" s="8" t="s">
        <v>1081</v>
      </c>
      <c r="F157" s="8" t="s">
        <v>1082</v>
      </c>
      <c r="G157" s="6" t="s">
        <v>74</v>
      </c>
      <c r="H157" s="6" t="s">
        <v>53</v>
      </c>
      <c r="I157" s="8"/>
      <c r="J157" s="9">
        <v>1</v>
      </c>
      <c r="K157" s="9">
        <v>176</v>
      </c>
      <c r="L157" s="9">
        <v>2024</v>
      </c>
      <c r="M157" s="8" t="s">
        <v>1083</v>
      </c>
      <c r="N157" s="8" t="s">
        <v>40</v>
      </c>
      <c r="O157" s="8" t="s">
        <v>41</v>
      </c>
      <c r="P157" s="6" t="s">
        <v>42</v>
      </c>
      <c r="Q157" s="8" t="s">
        <v>43</v>
      </c>
      <c r="R157" s="10" t="s">
        <v>1084</v>
      </c>
      <c r="S157" s="11"/>
      <c r="T157" s="6"/>
      <c r="U157" s="28" t="str">
        <f>HYPERLINK("https://media.infra-m.ru/1927/1927323/cover/1927323.jpg", "Обложка")</f>
        <v>Обложка</v>
      </c>
      <c r="V157" s="12"/>
      <c r="W157" s="8" t="s">
        <v>1085</v>
      </c>
      <c r="X157" s="6"/>
      <c r="Y157" s="6"/>
      <c r="Z157" s="6"/>
      <c r="AA157" s="6" t="s">
        <v>89</v>
      </c>
    </row>
    <row r="158" spans="1:27" s="4" customFormat="1" ht="51.95" customHeight="1">
      <c r="A158" s="5">
        <v>0</v>
      </c>
      <c r="B158" s="6" t="s">
        <v>1086</v>
      </c>
      <c r="C158" s="13">
        <v>1654.9</v>
      </c>
      <c r="D158" s="8" t="s">
        <v>1087</v>
      </c>
      <c r="E158" s="8" t="s">
        <v>1088</v>
      </c>
      <c r="F158" s="8" t="s">
        <v>1089</v>
      </c>
      <c r="G158" s="6" t="s">
        <v>52</v>
      </c>
      <c r="H158" s="6" t="s">
        <v>149</v>
      </c>
      <c r="I158" s="8" t="s">
        <v>75</v>
      </c>
      <c r="J158" s="9">
        <v>1</v>
      </c>
      <c r="K158" s="9">
        <v>368</v>
      </c>
      <c r="L158" s="9">
        <v>2023</v>
      </c>
      <c r="M158" s="8" t="s">
        <v>1090</v>
      </c>
      <c r="N158" s="8" t="s">
        <v>40</v>
      </c>
      <c r="O158" s="8" t="s">
        <v>41</v>
      </c>
      <c r="P158" s="6" t="s">
        <v>42</v>
      </c>
      <c r="Q158" s="8" t="s">
        <v>43</v>
      </c>
      <c r="R158" s="10" t="s">
        <v>692</v>
      </c>
      <c r="S158" s="11" t="s">
        <v>1091</v>
      </c>
      <c r="T158" s="6" t="s">
        <v>117</v>
      </c>
      <c r="U158" s="28" t="str">
        <f>HYPERLINK("https://media.infra-m.ru/2012/2012549/cover/2012549.jpg", "Обложка")</f>
        <v>Обложка</v>
      </c>
      <c r="V158" s="28" t="str">
        <f>HYPERLINK("https://znanium.com/catalog/product/1832387", "Ознакомиться")</f>
        <v>Ознакомиться</v>
      </c>
      <c r="W158" s="8" t="s">
        <v>204</v>
      </c>
      <c r="X158" s="6"/>
      <c r="Y158" s="6"/>
      <c r="Z158" s="6"/>
      <c r="AA158" s="6" t="s">
        <v>1092</v>
      </c>
    </row>
    <row r="159" spans="1:27" s="4" customFormat="1" ht="51.95" customHeight="1">
      <c r="A159" s="5">
        <v>0</v>
      </c>
      <c r="B159" s="6" t="s">
        <v>1093</v>
      </c>
      <c r="C159" s="13">
        <v>1280</v>
      </c>
      <c r="D159" s="8" t="s">
        <v>1094</v>
      </c>
      <c r="E159" s="8" t="s">
        <v>1095</v>
      </c>
      <c r="F159" s="8" t="s">
        <v>1096</v>
      </c>
      <c r="G159" s="6" t="s">
        <v>52</v>
      </c>
      <c r="H159" s="6" t="s">
        <v>149</v>
      </c>
      <c r="I159" s="8" t="s">
        <v>54</v>
      </c>
      <c r="J159" s="9">
        <v>1</v>
      </c>
      <c r="K159" s="9">
        <v>336</v>
      </c>
      <c r="L159" s="9">
        <v>2022</v>
      </c>
      <c r="M159" s="8" t="s">
        <v>1097</v>
      </c>
      <c r="N159" s="8" t="s">
        <v>40</v>
      </c>
      <c r="O159" s="8" t="s">
        <v>41</v>
      </c>
      <c r="P159" s="6" t="s">
        <v>42</v>
      </c>
      <c r="Q159" s="8" t="s">
        <v>43</v>
      </c>
      <c r="R159" s="10" t="s">
        <v>692</v>
      </c>
      <c r="S159" s="11" t="s">
        <v>1098</v>
      </c>
      <c r="T159" s="6"/>
      <c r="U159" s="28" t="str">
        <f>HYPERLINK("https://media.infra-m.ru/1832/1832412/cover/1832412.jpg", "Обложка")</f>
        <v>Обложка</v>
      </c>
      <c r="V159" s="28" t="str">
        <f>HYPERLINK("https://znanium.com/catalog/product/1832412", "Ознакомиться")</f>
        <v>Ознакомиться</v>
      </c>
      <c r="W159" s="8" t="s">
        <v>1099</v>
      </c>
      <c r="X159" s="6"/>
      <c r="Y159" s="6"/>
      <c r="Z159" s="6"/>
      <c r="AA159" s="6" t="s">
        <v>153</v>
      </c>
    </row>
    <row r="160" spans="1:27" s="4" customFormat="1" ht="51.95" customHeight="1">
      <c r="A160" s="5">
        <v>0</v>
      </c>
      <c r="B160" s="6" t="s">
        <v>1100</v>
      </c>
      <c r="C160" s="13">
        <v>1920</v>
      </c>
      <c r="D160" s="8" t="s">
        <v>1101</v>
      </c>
      <c r="E160" s="8" t="s">
        <v>1102</v>
      </c>
      <c r="F160" s="8" t="s">
        <v>36</v>
      </c>
      <c r="G160" s="6" t="s">
        <v>37</v>
      </c>
      <c r="H160" s="6" t="s">
        <v>38</v>
      </c>
      <c r="I160" s="8" t="s">
        <v>1103</v>
      </c>
      <c r="J160" s="9">
        <v>1</v>
      </c>
      <c r="K160" s="9">
        <v>417</v>
      </c>
      <c r="L160" s="9">
        <v>2024</v>
      </c>
      <c r="M160" s="8" t="s">
        <v>1104</v>
      </c>
      <c r="N160" s="8" t="s">
        <v>40</v>
      </c>
      <c r="O160" s="8" t="s">
        <v>41</v>
      </c>
      <c r="P160" s="6" t="s">
        <v>161</v>
      </c>
      <c r="Q160" s="8" t="s">
        <v>485</v>
      </c>
      <c r="R160" s="10" t="s">
        <v>1105</v>
      </c>
      <c r="S160" s="11"/>
      <c r="T160" s="6" t="s">
        <v>117</v>
      </c>
      <c r="U160" s="28" t="str">
        <f>HYPERLINK("https://media.infra-m.ru/2103/2103195/cover/2103195.jpg", "Обложка")</f>
        <v>Обложка</v>
      </c>
      <c r="V160" s="28" t="str">
        <f>HYPERLINK("https://znanium.com/catalog/product/2103195", "Ознакомиться")</f>
        <v>Ознакомиться</v>
      </c>
      <c r="W160" s="8" t="s">
        <v>46</v>
      </c>
      <c r="X160" s="6"/>
      <c r="Y160" s="6"/>
      <c r="Z160" s="6"/>
      <c r="AA160" s="6" t="s">
        <v>120</v>
      </c>
    </row>
    <row r="161" spans="1:27" s="4" customFormat="1" ht="42" customHeight="1">
      <c r="A161" s="5">
        <v>0</v>
      </c>
      <c r="B161" s="6" t="s">
        <v>1106</v>
      </c>
      <c r="C161" s="13">
        <v>1060</v>
      </c>
      <c r="D161" s="8" t="s">
        <v>1107</v>
      </c>
      <c r="E161" s="8" t="s">
        <v>1108</v>
      </c>
      <c r="F161" s="8" t="s">
        <v>1109</v>
      </c>
      <c r="G161" s="6" t="s">
        <v>37</v>
      </c>
      <c r="H161" s="6" t="s">
        <v>113</v>
      </c>
      <c r="I161" s="8" t="s">
        <v>140</v>
      </c>
      <c r="J161" s="9">
        <v>1</v>
      </c>
      <c r="K161" s="9">
        <v>235</v>
      </c>
      <c r="L161" s="9">
        <v>2023</v>
      </c>
      <c r="M161" s="8" t="s">
        <v>1110</v>
      </c>
      <c r="N161" s="8" t="s">
        <v>40</v>
      </c>
      <c r="O161" s="8" t="s">
        <v>41</v>
      </c>
      <c r="P161" s="6" t="s">
        <v>133</v>
      </c>
      <c r="Q161" s="8" t="s">
        <v>125</v>
      </c>
      <c r="R161" s="10" t="s">
        <v>1111</v>
      </c>
      <c r="S161" s="11"/>
      <c r="T161" s="6"/>
      <c r="U161" s="28" t="str">
        <f>HYPERLINK("https://media.infra-m.ru/1921/1921360/cover/1921360.jpg", "Обложка")</f>
        <v>Обложка</v>
      </c>
      <c r="V161" s="28" t="str">
        <f>HYPERLINK("https://znanium.com/catalog/product/1921360", "Ознакомиться")</f>
        <v>Ознакомиться</v>
      </c>
      <c r="W161" s="8" t="s">
        <v>1112</v>
      </c>
      <c r="X161" s="6" t="s">
        <v>1113</v>
      </c>
      <c r="Y161" s="6"/>
      <c r="Z161" s="6"/>
      <c r="AA161" s="6" t="s">
        <v>687</v>
      </c>
    </row>
    <row r="162" spans="1:27" s="4" customFormat="1" ht="42" customHeight="1">
      <c r="A162" s="5">
        <v>0</v>
      </c>
      <c r="B162" s="6" t="s">
        <v>1114</v>
      </c>
      <c r="C162" s="13">
        <v>1270</v>
      </c>
      <c r="D162" s="8" t="s">
        <v>1115</v>
      </c>
      <c r="E162" s="8" t="s">
        <v>1116</v>
      </c>
      <c r="F162" s="8" t="s">
        <v>1117</v>
      </c>
      <c r="G162" s="6" t="s">
        <v>74</v>
      </c>
      <c r="H162" s="6" t="s">
        <v>83</v>
      </c>
      <c r="I162" s="8" t="s">
        <v>140</v>
      </c>
      <c r="J162" s="9">
        <v>1</v>
      </c>
      <c r="K162" s="9">
        <v>281</v>
      </c>
      <c r="L162" s="9">
        <v>2023</v>
      </c>
      <c r="M162" s="8" t="s">
        <v>1118</v>
      </c>
      <c r="N162" s="8" t="s">
        <v>40</v>
      </c>
      <c r="O162" s="8" t="s">
        <v>41</v>
      </c>
      <c r="P162" s="6" t="s">
        <v>133</v>
      </c>
      <c r="Q162" s="8" t="s">
        <v>125</v>
      </c>
      <c r="R162" s="10" t="s">
        <v>1119</v>
      </c>
      <c r="S162" s="11"/>
      <c r="T162" s="6"/>
      <c r="U162" s="28" t="str">
        <f>HYPERLINK("https://media.infra-m.ru/2020/2020522/cover/2020522.jpg", "Обложка")</f>
        <v>Обложка</v>
      </c>
      <c r="V162" s="28" t="str">
        <f>HYPERLINK("https://znanium.com/catalog/product/2020522", "Ознакомиться")</f>
        <v>Ознакомиться</v>
      </c>
      <c r="W162" s="8" t="s">
        <v>1120</v>
      </c>
      <c r="X162" s="6"/>
      <c r="Y162" s="6"/>
      <c r="Z162" s="6"/>
      <c r="AA162" s="6" t="s">
        <v>78</v>
      </c>
    </row>
    <row r="163" spans="1:27" s="4" customFormat="1" ht="51.95" customHeight="1">
      <c r="A163" s="5">
        <v>0</v>
      </c>
      <c r="B163" s="6" t="s">
        <v>1121</v>
      </c>
      <c r="C163" s="13">
        <v>1464</v>
      </c>
      <c r="D163" s="8" t="s">
        <v>1122</v>
      </c>
      <c r="E163" s="8" t="s">
        <v>1123</v>
      </c>
      <c r="F163" s="8" t="s">
        <v>1124</v>
      </c>
      <c r="G163" s="6" t="s">
        <v>52</v>
      </c>
      <c r="H163" s="6" t="s">
        <v>83</v>
      </c>
      <c r="I163" s="8" t="s">
        <v>75</v>
      </c>
      <c r="J163" s="9">
        <v>1</v>
      </c>
      <c r="K163" s="9">
        <v>321</v>
      </c>
      <c r="L163" s="9">
        <v>2023</v>
      </c>
      <c r="M163" s="8" t="s">
        <v>1125</v>
      </c>
      <c r="N163" s="8" t="s">
        <v>40</v>
      </c>
      <c r="O163" s="8" t="s">
        <v>41</v>
      </c>
      <c r="P163" s="6" t="s">
        <v>42</v>
      </c>
      <c r="Q163" s="8" t="s">
        <v>43</v>
      </c>
      <c r="R163" s="10" t="s">
        <v>1126</v>
      </c>
      <c r="S163" s="11"/>
      <c r="T163" s="6"/>
      <c r="U163" s="28" t="str">
        <f>HYPERLINK("https://media.infra-m.ru/2022/2022236/cover/2022236.jpg", "Обложка")</f>
        <v>Обложка</v>
      </c>
      <c r="V163" s="28" t="str">
        <f>HYPERLINK("https://znanium.com/catalog/product/1899016", "Ознакомиться")</f>
        <v>Ознакомиться</v>
      </c>
      <c r="W163" s="8" t="s">
        <v>1127</v>
      </c>
      <c r="X163" s="6"/>
      <c r="Y163" s="6"/>
      <c r="Z163" s="6"/>
      <c r="AA163" s="6" t="s">
        <v>120</v>
      </c>
    </row>
    <row r="164" spans="1:27" s="4" customFormat="1" ht="51.95" customHeight="1">
      <c r="A164" s="5">
        <v>0</v>
      </c>
      <c r="B164" s="6" t="s">
        <v>1128</v>
      </c>
      <c r="C164" s="7">
        <v>890</v>
      </c>
      <c r="D164" s="8" t="s">
        <v>1129</v>
      </c>
      <c r="E164" s="8" t="s">
        <v>1130</v>
      </c>
      <c r="F164" s="8" t="s">
        <v>1131</v>
      </c>
      <c r="G164" s="6" t="s">
        <v>74</v>
      </c>
      <c r="H164" s="6" t="s">
        <v>113</v>
      </c>
      <c r="I164" s="8" t="s">
        <v>140</v>
      </c>
      <c r="J164" s="9">
        <v>1</v>
      </c>
      <c r="K164" s="9">
        <v>192</v>
      </c>
      <c r="L164" s="9">
        <v>2022</v>
      </c>
      <c r="M164" s="8" t="s">
        <v>1132</v>
      </c>
      <c r="N164" s="8" t="s">
        <v>40</v>
      </c>
      <c r="O164" s="8" t="s">
        <v>41</v>
      </c>
      <c r="P164" s="6" t="s">
        <v>133</v>
      </c>
      <c r="Q164" s="8" t="s">
        <v>125</v>
      </c>
      <c r="R164" s="10" t="s">
        <v>1133</v>
      </c>
      <c r="S164" s="11"/>
      <c r="T164" s="6"/>
      <c r="U164" s="28" t="str">
        <f>HYPERLINK("https://media.infra-m.ru/1816/1816421/cover/1816421.jpg", "Обложка")</f>
        <v>Обложка</v>
      </c>
      <c r="V164" s="28" t="str">
        <f>HYPERLINK("https://znanium.com/catalog/product/1816421", "Ознакомиться")</f>
        <v>Ознакомиться</v>
      </c>
      <c r="W164" s="8" t="s">
        <v>1134</v>
      </c>
      <c r="X164" s="6"/>
      <c r="Y164" s="6"/>
      <c r="Z164" s="6"/>
      <c r="AA164" s="6" t="s">
        <v>253</v>
      </c>
    </row>
    <row r="165" spans="1:27" s="4" customFormat="1" ht="51.95" customHeight="1">
      <c r="A165" s="5">
        <v>0</v>
      </c>
      <c r="B165" s="6" t="s">
        <v>1135</v>
      </c>
      <c r="C165" s="13">
        <v>2200</v>
      </c>
      <c r="D165" s="8" t="s">
        <v>1136</v>
      </c>
      <c r="E165" s="8" t="s">
        <v>1137</v>
      </c>
      <c r="F165" s="8" t="s">
        <v>1138</v>
      </c>
      <c r="G165" s="6" t="s">
        <v>74</v>
      </c>
      <c r="H165" s="6" t="s">
        <v>83</v>
      </c>
      <c r="I165" s="8" t="s">
        <v>75</v>
      </c>
      <c r="J165" s="9">
        <v>1</v>
      </c>
      <c r="K165" s="9">
        <v>413</v>
      </c>
      <c r="L165" s="9">
        <v>2021</v>
      </c>
      <c r="M165" s="8" t="s">
        <v>1139</v>
      </c>
      <c r="N165" s="8" t="s">
        <v>40</v>
      </c>
      <c r="O165" s="8" t="s">
        <v>41</v>
      </c>
      <c r="P165" s="6" t="s">
        <v>1140</v>
      </c>
      <c r="Q165" s="8" t="s">
        <v>43</v>
      </c>
      <c r="R165" s="10" t="s">
        <v>1141</v>
      </c>
      <c r="S165" s="11" t="s">
        <v>1142</v>
      </c>
      <c r="T165" s="6"/>
      <c r="U165" s="28" t="str">
        <f>HYPERLINK("https://media.infra-m.ru/1215/1215714/cover/1215714.jpg", "Обложка")</f>
        <v>Обложка</v>
      </c>
      <c r="V165" s="28" t="str">
        <f>HYPERLINK("https://znanium.com/catalog/product/1215714", "Ознакомиться")</f>
        <v>Ознакомиться</v>
      </c>
      <c r="W165" s="8" t="s">
        <v>143</v>
      </c>
      <c r="X165" s="6"/>
      <c r="Y165" s="6"/>
      <c r="Z165" s="6"/>
      <c r="AA165" s="6" t="s">
        <v>930</v>
      </c>
    </row>
    <row r="166" spans="1:27" s="4" customFormat="1" ht="51.95" customHeight="1">
      <c r="A166" s="5">
        <v>0</v>
      </c>
      <c r="B166" s="6" t="s">
        <v>1143</v>
      </c>
      <c r="C166" s="7">
        <v>700</v>
      </c>
      <c r="D166" s="8" t="s">
        <v>1144</v>
      </c>
      <c r="E166" s="8" t="s">
        <v>1145</v>
      </c>
      <c r="F166" s="8" t="s">
        <v>1146</v>
      </c>
      <c r="G166" s="6" t="s">
        <v>74</v>
      </c>
      <c r="H166" s="6" t="s">
        <v>113</v>
      </c>
      <c r="I166" s="8" t="s">
        <v>140</v>
      </c>
      <c r="J166" s="9">
        <v>1</v>
      </c>
      <c r="K166" s="9">
        <v>150</v>
      </c>
      <c r="L166" s="9">
        <v>2021</v>
      </c>
      <c r="M166" s="8" t="s">
        <v>1147</v>
      </c>
      <c r="N166" s="8" t="s">
        <v>40</v>
      </c>
      <c r="O166" s="8" t="s">
        <v>41</v>
      </c>
      <c r="P166" s="6" t="s">
        <v>133</v>
      </c>
      <c r="Q166" s="8" t="s">
        <v>125</v>
      </c>
      <c r="R166" s="10" t="s">
        <v>1148</v>
      </c>
      <c r="S166" s="11"/>
      <c r="T166" s="6"/>
      <c r="U166" s="28" t="str">
        <f>HYPERLINK("https://media.infra-m.ru/1163/1163946/cover/1163946.jpg", "Обложка")</f>
        <v>Обложка</v>
      </c>
      <c r="V166" s="28" t="str">
        <f>HYPERLINK("https://znanium.com/catalog/product/1163946", "Ознакомиться")</f>
        <v>Ознакомиться</v>
      </c>
      <c r="W166" s="8"/>
      <c r="X166" s="6"/>
      <c r="Y166" s="6"/>
      <c r="Z166" s="6"/>
      <c r="AA166" s="6" t="s">
        <v>245</v>
      </c>
    </row>
    <row r="167" spans="1:27" s="4" customFormat="1" ht="51.95" customHeight="1">
      <c r="A167" s="5">
        <v>0</v>
      </c>
      <c r="B167" s="6" t="s">
        <v>1149</v>
      </c>
      <c r="C167" s="7">
        <v>524.9</v>
      </c>
      <c r="D167" s="8" t="s">
        <v>1150</v>
      </c>
      <c r="E167" s="8" t="s">
        <v>1151</v>
      </c>
      <c r="F167" s="8" t="s">
        <v>300</v>
      </c>
      <c r="G167" s="6" t="s">
        <v>37</v>
      </c>
      <c r="H167" s="6" t="s">
        <v>149</v>
      </c>
      <c r="I167" s="8" t="s">
        <v>84</v>
      </c>
      <c r="J167" s="9">
        <v>20</v>
      </c>
      <c r="K167" s="9">
        <v>240</v>
      </c>
      <c r="L167" s="9">
        <v>2017</v>
      </c>
      <c r="M167" s="8" t="s">
        <v>1152</v>
      </c>
      <c r="N167" s="8" t="s">
        <v>40</v>
      </c>
      <c r="O167" s="8" t="s">
        <v>41</v>
      </c>
      <c r="P167" s="6" t="s">
        <v>161</v>
      </c>
      <c r="Q167" s="8" t="s">
        <v>66</v>
      </c>
      <c r="R167" s="10" t="s">
        <v>1153</v>
      </c>
      <c r="S167" s="11" t="s">
        <v>1154</v>
      </c>
      <c r="T167" s="6"/>
      <c r="U167" s="28" t="str">
        <f>HYPERLINK("https://media.infra-m.ru/0671/0671655/cover/671655.jpg", "Обложка")</f>
        <v>Обложка</v>
      </c>
      <c r="V167" s="28" t="str">
        <f>HYPERLINK("https://znanium.com/catalog/product/1896458", "Ознакомиться")</f>
        <v>Ознакомиться</v>
      </c>
      <c r="W167" s="8" t="s">
        <v>304</v>
      </c>
      <c r="X167" s="6"/>
      <c r="Y167" s="6"/>
      <c r="Z167" s="6"/>
      <c r="AA167" s="6" t="s">
        <v>1155</v>
      </c>
    </row>
    <row r="168" spans="1:27" s="4" customFormat="1" ht="51.95" customHeight="1">
      <c r="A168" s="5">
        <v>0</v>
      </c>
      <c r="B168" s="6" t="s">
        <v>1156</v>
      </c>
      <c r="C168" s="7">
        <v>970</v>
      </c>
      <c r="D168" s="8" t="s">
        <v>1157</v>
      </c>
      <c r="E168" s="8" t="s">
        <v>1158</v>
      </c>
      <c r="F168" s="8" t="s">
        <v>651</v>
      </c>
      <c r="G168" s="6" t="s">
        <v>52</v>
      </c>
      <c r="H168" s="6" t="s">
        <v>113</v>
      </c>
      <c r="I168" s="8" t="s">
        <v>64</v>
      </c>
      <c r="J168" s="9">
        <v>1</v>
      </c>
      <c r="K168" s="9">
        <v>209</v>
      </c>
      <c r="L168" s="9">
        <v>2024</v>
      </c>
      <c r="M168" s="8" t="s">
        <v>1159</v>
      </c>
      <c r="N168" s="8" t="s">
        <v>40</v>
      </c>
      <c r="O168" s="8" t="s">
        <v>41</v>
      </c>
      <c r="P168" s="6" t="s">
        <v>42</v>
      </c>
      <c r="Q168" s="8" t="s">
        <v>66</v>
      </c>
      <c r="R168" s="10" t="s">
        <v>1160</v>
      </c>
      <c r="S168" s="11" t="s">
        <v>1161</v>
      </c>
      <c r="T168" s="6"/>
      <c r="U168" s="28" t="str">
        <f>HYPERLINK("https://media.infra-m.ru/2103/2103177/cover/2103177.jpg", "Обложка")</f>
        <v>Обложка</v>
      </c>
      <c r="V168" s="28" t="str">
        <f>HYPERLINK("https://znanium.com/catalog/product/2103177", "Ознакомиться")</f>
        <v>Ознакомиться</v>
      </c>
      <c r="W168" s="8" t="s">
        <v>655</v>
      </c>
      <c r="X168" s="6"/>
      <c r="Y168" s="6"/>
      <c r="Z168" s="6"/>
      <c r="AA168" s="6" t="s">
        <v>275</v>
      </c>
    </row>
    <row r="169" spans="1:27" s="4" customFormat="1" ht="42" customHeight="1">
      <c r="A169" s="5">
        <v>0</v>
      </c>
      <c r="B169" s="6" t="s">
        <v>1162</v>
      </c>
      <c r="C169" s="13">
        <v>1390</v>
      </c>
      <c r="D169" s="8" t="s">
        <v>1163</v>
      </c>
      <c r="E169" s="8" t="s">
        <v>1164</v>
      </c>
      <c r="F169" s="8" t="s">
        <v>1165</v>
      </c>
      <c r="G169" s="6" t="s">
        <v>52</v>
      </c>
      <c r="H169" s="6" t="s">
        <v>113</v>
      </c>
      <c r="I169" s="8" t="s">
        <v>140</v>
      </c>
      <c r="J169" s="9">
        <v>1</v>
      </c>
      <c r="K169" s="9">
        <v>396</v>
      </c>
      <c r="L169" s="9">
        <v>2020</v>
      </c>
      <c r="M169" s="8" t="s">
        <v>1166</v>
      </c>
      <c r="N169" s="8" t="s">
        <v>40</v>
      </c>
      <c r="O169" s="8" t="s">
        <v>41</v>
      </c>
      <c r="P169" s="6" t="s">
        <v>133</v>
      </c>
      <c r="Q169" s="8" t="s">
        <v>125</v>
      </c>
      <c r="R169" s="10" t="s">
        <v>1167</v>
      </c>
      <c r="S169" s="11"/>
      <c r="T169" s="6"/>
      <c r="U169" s="28" t="str">
        <f>HYPERLINK("https://media.infra-m.ru/1094/1094320/cover/1094320.jpg", "Обложка")</f>
        <v>Обложка</v>
      </c>
      <c r="V169" s="28" t="str">
        <f>HYPERLINK("https://znanium.com/catalog/product/1094320", "Ознакомиться")</f>
        <v>Ознакомиться</v>
      </c>
      <c r="W169" s="8" t="s">
        <v>1168</v>
      </c>
      <c r="X169" s="6"/>
      <c r="Y169" s="6"/>
      <c r="Z169" s="6"/>
      <c r="AA169" s="6" t="s">
        <v>165</v>
      </c>
    </row>
    <row r="170" spans="1:27" s="4" customFormat="1" ht="51.95" customHeight="1">
      <c r="A170" s="5">
        <v>0</v>
      </c>
      <c r="B170" s="6" t="s">
        <v>1169</v>
      </c>
      <c r="C170" s="7">
        <v>404</v>
      </c>
      <c r="D170" s="8" t="s">
        <v>1170</v>
      </c>
      <c r="E170" s="8" t="s">
        <v>1171</v>
      </c>
      <c r="F170" s="8" t="s">
        <v>1172</v>
      </c>
      <c r="G170" s="6" t="s">
        <v>74</v>
      </c>
      <c r="H170" s="6" t="s">
        <v>113</v>
      </c>
      <c r="I170" s="8" t="s">
        <v>140</v>
      </c>
      <c r="J170" s="9">
        <v>1</v>
      </c>
      <c r="K170" s="9">
        <v>88</v>
      </c>
      <c r="L170" s="9">
        <v>2024</v>
      </c>
      <c r="M170" s="8" t="s">
        <v>1173</v>
      </c>
      <c r="N170" s="8" t="s">
        <v>40</v>
      </c>
      <c r="O170" s="8" t="s">
        <v>41</v>
      </c>
      <c r="P170" s="6" t="s">
        <v>133</v>
      </c>
      <c r="Q170" s="8" t="s">
        <v>125</v>
      </c>
      <c r="R170" s="10" t="s">
        <v>1174</v>
      </c>
      <c r="S170" s="11"/>
      <c r="T170" s="6"/>
      <c r="U170" s="28" t="str">
        <f>HYPERLINK("https://media.infra-m.ru/2103/2103133/cover/2103133.jpg", "Обложка")</f>
        <v>Обложка</v>
      </c>
      <c r="V170" s="28" t="str">
        <f>HYPERLINK("https://znanium.com/catalog/product/1514896", "Ознакомиться")</f>
        <v>Ознакомиться</v>
      </c>
      <c r="W170" s="8" t="s">
        <v>1175</v>
      </c>
      <c r="X170" s="6"/>
      <c r="Y170" s="6"/>
      <c r="Z170" s="6"/>
      <c r="AA170" s="6" t="s">
        <v>108</v>
      </c>
    </row>
    <row r="171" spans="1:27" s="4" customFormat="1" ht="51.95" customHeight="1">
      <c r="A171" s="5">
        <v>0</v>
      </c>
      <c r="B171" s="6" t="s">
        <v>1176</v>
      </c>
      <c r="C171" s="13">
        <v>1994.9</v>
      </c>
      <c r="D171" s="8" t="s">
        <v>1177</v>
      </c>
      <c r="E171" s="8" t="s">
        <v>1178</v>
      </c>
      <c r="F171" s="8" t="s">
        <v>1179</v>
      </c>
      <c r="G171" s="6" t="s">
        <v>37</v>
      </c>
      <c r="H171" s="6" t="s">
        <v>38</v>
      </c>
      <c r="I171" s="8" t="s">
        <v>1180</v>
      </c>
      <c r="J171" s="9">
        <v>1</v>
      </c>
      <c r="K171" s="9">
        <v>445</v>
      </c>
      <c r="L171" s="9">
        <v>2023</v>
      </c>
      <c r="M171" s="8" t="s">
        <v>1181</v>
      </c>
      <c r="N171" s="8" t="s">
        <v>40</v>
      </c>
      <c r="O171" s="8" t="s">
        <v>41</v>
      </c>
      <c r="P171" s="6" t="s">
        <v>133</v>
      </c>
      <c r="Q171" s="8" t="s">
        <v>125</v>
      </c>
      <c r="R171" s="10" t="s">
        <v>1182</v>
      </c>
      <c r="S171" s="11"/>
      <c r="T171" s="6"/>
      <c r="U171" s="28" t="str">
        <f>HYPERLINK("https://media.infra-m.ru/1911/1911170/cover/1911170.jpg", "Обложка")</f>
        <v>Обложка</v>
      </c>
      <c r="V171" s="28" t="str">
        <f>HYPERLINK("https://znanium.com/catalog/product/1178868", "Ознакомиться")</f>
        <v>Ознакомиться</v>
      </c>
      <c r="W171" s="8" t="s">
        <v>565</v>
      </c>
      <c r="X171" s="6"/>
      <c r="Y171" s="6"/>
      <c r="Z171" s="6"/>
      <c r="AA171" s="6" t="s">
        <v>108</v>
      </c>
    </row>
    <row r="172" spans="1:27" s="4" customFormat="1" ht="51.95" customHeight="1">
      <c r="A172" s="5">
        <v>0</v>
      </c>
      <c r="B172" s="6" t="s">
        <v>1183</v>
      </c>
      <c r="C172" s="13">
        <v>1444.9</v>
      </c>
      <c r="D172" s="8" t="s">
        <v>1184</v>
      </c>
      <c r="E172" s="8" t="s">
        <v>1185</v>
      </c>
      <c r="F172" s="8" t="s">
        <v>1186</v>
      </c>
      <c r="G172" s="6" t="s">
        <v>37</v>
      </c>
      <c r="H172" s="6" t="s">
        <v>149</v>
      </c>
      <c r="I172" s="8" t="s">
        <v>64</v>
      </c>
      <c r="J172" s="9">
        <v>1</v>
      </c>
      <c r="K172" s="9">
        <v>320</v>
      </c>
      <c r="L172" s="9">
        <v>2023</v>
      </c>
      <c r="M172" s="8" t="s">
        <v>1187</v>
      </c>
      <c r="N172" s="8" t="s">
        <v>40</v>
      </c>
      <c r="O172" s="8" t="s">
        <v>41</v>
      </c>
      <c r="P172" s="6" t="s">
        <v>42</v>
      </c>
      <c r="Q172" s="8" t="s">
        <v>66</v>
      </c>
      <c r="R172" s="10" t="s">
        <v>1188</v>
      </c>
      <c r="S172" s="11" t="s">
        <v>1189</v>
      </c>
      <c r="T172" s="6"/>
      <c r="U172" s="28" t="str">
        <f>HYPERLINK("https://media.infra-m.ru/2045/2045976/cover/2045976.jpg", "Обложка")</f>
        <v>Обложка</v>
      </c>
      <c r="V172" s="28" t="str">
        <f>HYPERLINK("https://znanium.com/catalog/product/1043094", "Ознакомиться")</f>
        <v>Ознакомиться</v>
      </c>
      <c r="W172" s="8" t="s">
        <v>143</v>
      </c>
      <c r="X172" s="6"/>
      <c r="Y172" s="6"/>
      <c r="Z172" s="6" t="s">
        <v>69</v>
      </c>
      <c r="AA172" s="6" t="s">
        <v>1190</v>
      </c>
    </row>
    <row r="173" spans="1:27" s="4" customFormat="1" ht="51.95" customHeight="1">
      <c r="A173" s="5">
        <v>0</v>
      </c>
      <c r="B173" s="6" t="s">
        <v>1191</v>
      </c>
      <c r="C173" s="13">
        <v>1474</v>
      </c>
      <c r="D173" s="8" t="s">
        <v>1192</v>
      </c>
      <c r="E173" s="8" t="s">
        <v>1185</v>
      </c>
      <c r="F173" s="8" t="s">
        <v>1186</v>
      </c>
      <c r="G173" s="6" t="s">
        <v>37</v>
      </c>
      <c r="H173" s="6" t="s">
        <v>149</v>
      </c>
      <c r="I173" s="8" t="s">
        <v>54</v>
      </c>
      <c r="J173" s="9">
        <v>1</v>
      </c>
      <c r="K173" s="9">
        <v>320</v>
      </c>
      <c r="L173" s="9">
        <v>2024</v>
      </c>
      <c r="M173" s="8" t="s">
        <v>1193</v>
      </c>
      <c r="N173" s="8" t="s">
        <v>40</v>
      </c>
      <c r="O173" s="8" t="s">
        <v>41</v>
      </c>
      <c r="P173" s="6" t="s">
        <v>42</v>
      </c>
      <c r="Q173" s="8" t="s">
        <v>43</v>
      </c>
      <c r="R173" s="10" t="s">
        <v>1194</v>
      </c>
      <c r="S173" s="11" t="s">
        <v>1195</v>
      </c>
      <c r="T173" s="6"/>
      <c r="U173" s="28" t="str">
        <f>HYPERLINK("https://media.infra-m.ru/2079/2079645/cover/2079645.jpg", "Обложка")</f>
        <v>Обложка</v>
      </c>
      <c r="V173" s="28" t="str">
        <f>HYPERLINK("https://znanium.com/catalog/product/1514899", "Ознакомиться")</f>
        <v>Ознакомиться</v>
      </c>
      <c r="W173" s="8" t="s">
        <v>143</v>
      </c>
      <c r="X173" s="6"/>
      <c r="Y173" s="6"/>
      <c r="Z173" s="6"/>
      <c r="AA173" s="6" t="s">
        <v>415</v>
      </c>
    </row>
    <row r="174" spans="1:27" s="4" customFormat="1" ht="51.95" customHeight="1">
      <c r="A174" s="5">
        <v>0</v>
      </c>
      <c r="B174" s="6" t="s">
        <v>1196</v>
      </c>
      <c r="C174" s="7">
        <v>740</v>
      </c>
      <c r="D174" s="8" t="s">
        <v>1197</v>
      </c>
      <c r="E174" s="8" t="s">
        <v>1198</v>
      </c>
      <c r="F174" s="8" t="s">
        <v>1199</v>
      </c>
      <c r="G174" s="6" t="s">
        <v>52</v>
      </c>
      <c r="H174" s="6" t="s">
        <v>113</v>
      </c>
      <c r="I174" s="8" t="s">
        <v>75</v>
      </c>
      <c r="J174" s="9">
        <v>1</v>
      </c>
      <c r="K174" s="9">
        <v>256</v>
      </c>
      <c r="L174" s="9">
        <v>2018</v>
      </c>
      <c r="M174" s="8" t="s">
        <v>1200</v>
      </c>
      <c r="N174" s="8" t="s">
        <v>40</v>
      </c>
      <c r="O174" s="8" t="s">
        <v>41</v>
      </c>
      <c r="P174" s="6" t="s">
        <v>42</v>
      </c>
      <c r="Q174" s="8" t="s">
        <v>43</v>
      </c>
      <c r="R174" s="10" t="s">
        <v>1201</v>
      </c>
      <c r="S174" s="11" t="s">
        <v>1202</v>
      </c>
      <c r="T174" s="6" t="s">
        <v>117</v>
      </c>
      <c r="U174" s="28" t="str">
        <f>HYPERLINK("https://media.infra-m.ru/0922/0922736/cover/922736.jpg", "Обложка")</f>
        <v>Обложка</v>
      </c>
      <c r="V174" s="28" t="str">
        <f>HYPERLINK("https://znanium.com/catalog/product/1862852", "Ознакомиться")</f>
        <v>Ознакомиться</v>
      </c>
      <c r="W174" s="8" t="s">
        <v>46</v>
      </c>
      <c r="X174" s="6"/>
      <c r="Y174" s="6"/>
      <c r="Z174" s="6"/>
      <c r="AA174" s="6" t="s">
        <v>144</v>
      </c>
    </row>
    <row r="175" spans="1:27" s="4" customFormat="1" ht="51.95" customHeight="1">
      <c r="A175" s="5">
        <v>0</v>
      </c>
      <c r="B175" s="6" t="s">
        <v>1203</v>
      </c>
      <c r="C175" s="13">
        <v>1724.9</v>
      </c>
      <c r="D175" s="8" t="s">
        <v>1204</v>
      </c>
      <c r="E175" s="8" t="s">
        <v>1205</v>
      </c>
      <c r="F175" s="8" t="s">
        <v>1206</v>
      </c>
      <c r="G175" s="6" t="s">
        <v>37</v>
      </c>
      <c r="H175" s="6" t="s">
        <v>113</v>
      </c>
      <c r="I175" s="8" t="s">
        <v>75</v>
      </c>
      <c r="J175" s="9">
        <v>1</v>
      </c>
      <c r="K175" s="9">
        <v>383</v>
      </c>
      <c r="L175" s="9">
        <v>2023</v>
      </c>
      <c r="M175" s="8" t="s">
        <v>1207</v>
      </c>
      <c r="N175" s="8" t="s">
        <v>40</v>
      </c>
      <c r="O175" s="8" t="s">
        <v>41</v>
      </c>
      <c r="P175" s="6" t="s">
        <v>42</v>
      </c>
      <c r="Q175" s="8" t="s">
        <v>43</v>
      </c>
      <c r="R175" s="10" t="s">
        <v>1201</v>
      </c>
      <c r="S175" s="11" t="s">
        <v>1208</v>
      </c>
      <c r="T175" s="6"/>
      <c r="U175" s="28" t="str">
        <f>HYPERLINK("https://media.infra-m.ru/2001/2001618/cover/2001618.jpg", "Обложка")</f>
        <v>Обложка</v>
      </c>
      <c r="V175" s="28" t="str">
        <f>HYPERLINK("https://znanium.com/catalog/product/1862852", "Ознакомиться")</f>
        <v>Ознакомиться</v>
      </c>
      <c r="W175" s="8" t="s">
        <v>46</v>
      </c>
      <c r="X175" s="6"/>
      <c r="Y175" s="6"/>
      <c r="Z175" s="6"/>
      <c r="AA175" s="6" t="s">
        <v>59</v>
      </c>
    </row>
    <row r="176" spans="1:27" s="4" customFormat="1" ht="51.95" customHeight="1">
      <c r="A176" s="5">
        <v>0</v>
      </c>
      <c r="B176" s="6" t="s">
        <v>1209</v>
      </c>
      <c r="C176" s="13">
        <v>1490</v>
      </c>
      <c r="D176" s="8" t="s">
        <v>1210</v>
      </c>
      <c r="E176" s="8" t="s">
        <v>1211</v>
      </c>
      <c r="F176" s="8" t="s">
        <v>1212</v>
      </c>
      <c r="G176" s="6" t="s">
        <v>52</v>
      </c>
      <c r="H176" s="6" t="s">
        <v>113</v>
      </c>
      <c r="I176" s="8" t="s">
        <v>64</v>
      </c>
      <c r="J176" s="9">
        <v>1</v>
      </c>
      <c r="K176" s="9">
        <v>331</v>
      </c>
      <c r="L176" s="9">
        <v>2023</v>
      </c>
      <c r="M176" s="8" t="s">
        <v>1213</v>
      </c>
      <c r="N176" s="8" t="s">
        <v>40</v>
      </c>
      <c r="O176" s="8" t="s">
        <v>41</v>
      </c>
      <c r="P176" s="6" t="s">
        <v>42</v>
      </c>
      <c r="Q176" s="8" t="s">
        <v>66</v>
      </c>
      <c r="R176" s="10" t="s">
        <v>1214</v>
      </c>
      <c r="S176" s="11" t="s">
        <v>1215</v>
      </c>
      <c r="T176" s="6" t="s">
        <v>117</v>
      </c>
      <c r="U176" s="28" t="str">
        <f>HYPERLINK("https://media.infra-m.ru/1902/1902833/cover/1902833.jpg", "Обложка")</f>
        <v>Обложка</v>
      </c>
      <c r="V176" s="28" t="str">
        <f>HYPERLINK("https://znanium.com/catalog/product/1902833", "Ознакомиться")</f>
        <v>Ознакомиться</v>
      </c>
      <c r="W176" s="8" t="s">
        <v>1216</v>
      </c>
      <c r="X176" s="6"/>
      <c r="Y176" s="6"/>
      <c r="Z176" s="6" t="s">
        <v>69</v>
      </c>
      <c r="AA176" s="6" t="s">
        <v>253</v>
      </c>
    </row>
    <row r="177" spans="1:27" s="4" customFormat="1" ht="42" customHeight="1">
      <c r="A177" s="5">
        <v>0</v>
      </c>
      <c r="B177" s="6" t="s">
        <v>1217</v>
      </c>
      <c r="C177" s="13">
        <v>1730</v>
      </c>
      <c r="D177" s="8" t="s">
        <v>1218</v>
      </c>
      <c r="E177" s="8" t="s">
        <v>1219</v>
      </c>
      <c r="F177" s="8" t="s">
        <v>1220</v>
      </c>
      <c r="G177" s="6" t="s">
        <v>52</v>
      </c>
      <c r="H177" s="6" t="s">
        <v>158</v>
      </c>
      <c r="I177" s="8"/>
      <c r="J177" s="9">
        <v>1</v>
      </c>
      <c r="K177" s="9">
        <v>384</v>
      </c>
      <c r="L177" s="9">
        <v>2023</v>
      </c>
      <c r="M177" s="8" t="s">
        <v>1221</v>
      </c>
      <c r="N177" s="8" t="s">
        <v>40</v>
      </c>
      <c r="O177" s="8" t="s">
        <v>41</v>
      </c>
      <c r="P177" s="6" t="s">
        <v>161</v>
      </c>
      <c r="Q177" s="8" t="s">
        <v>43</v>
      </c>
      <c r="R177" s="10" t="s">
        <v>936</v>
      </c>
      <c r="S177" s="11"/>
      <c r="T177" s="6"/>
      <c r="U177" s="28" t="str">
        <f>HYPERLINK("https://media.infra-m.ru/1907/1907609/cover/1907609.jpg", "Обложка")</f>
        <v>Обложка</v>
      </c>
      <c r="V177" s="28" t="str">
        <f>HYPERLINK("https://znanium.com/catalog/product/1907609", "Ознакомиться")</f>
        <v>Ознакомиться</v>
      </c>
      <c r="W177" s="8" t="s">
        <v>88</v>
      </c>
      <c r="X177" s="6"/>
      <c r="Y177" s="6"/>
      <c r="Z177" s="6"/>
      <c r="AA177" s="6" t="s">
        <v>165</v>
      </c>
    </row>
    <row r="178" spans="1:27" s="4" customFormat="1" ht="51.95" customHeight="1">
      <c r="A178" s="5">
        <v>0</v>
      </c>
      <c r="B178" s="6" t="s">
        <v>1222</v>
      </c>
      <c r="C178" s="13">
        <v>1630</v>
      </c>
      <c r="D178" s="8" t="s">
        <v>1223</v>
      </c>
      <c r="E178" s="8" t="s">
        <v>1224</v>
      </c>
      <c r="F178" s="8" t="s">
        <v>1225</v>
      </c>
      <c r="G178" s="6" t="s">
        <v>74</v>
      </c>
      <c r="H178" s="6" t="s">
        <v>113</v>
      </c>
      <c r="I178" s="8" t="s">
        <v>140</v>
      </c>
      <c r="J178" s="9">
        <v>1</v>
      </c>
      <c r="K178" s="9">
        <v>347</v>
      </c>
      <c r="L178" s="9">
        <v>2023</v>
      </c>
      <c r="M178" s="8" t="s">
        <v>1226</v>
      </c>
      <c r="N178" s="8" t="s">
        <v>40</v>
      </c>
      <c r="O178" s="8" t="s">
        <v>41</v>
      </c>
      <c r="P178" s="6" t="s">
        <v>133</v>
      </c>
      <c r="Q178" s="8" t="s">
        <v>125</v>
      </c>
      <c r="R178" s="10" t="s">
        <v>1227</v>
      </c>
      <c r="S178" s="11"/>
      <c r="T178" s="6"/>
      <c r="U178" s="28" t="str">
        <f>HYPERLINK("https://media.infra-m.ru/1904/1904325/cover/1904325.jpg", "Обложка")</f>
        <v>Обложка</v>
      </c>
      <c r="V178" s="28" t="str">
        <f>HYPERLINK("https://znanium.com/catalog/product/1904325", "Ознакомиться")</f>
        <v>Ознакомиться</v>
      </c>
      <c r="W178" s="8" t="s">
        <v>471</v>
      </c>
      <c r="X178" s="6" t="s">
        <v>274</v>
      </c>
      <c r="Y178" s="6"/>
      <c r="Z178" s="6"/>
      <c r="AA178" s="6" t="s">
        <v>687</v>
      </c>
    </row>
    <row r="179" spans="1:27" s="4" customFormat="1" ht="44.1" customHeight="1">
      <c r="A179" s="5">
        <v>0</v>
      </c>
      <c r="B179" s="6" t="s">
        <v>1228</v>
      </c>
      <c r="C179" s="7">
        <v>860</v>
      </c>
      <c r="D179" s="8" t="s">
        <v>1229</v>
      </c>
      <c r="E179" s="8" t="s">
        <v>1230</v>
      </c>
      <c r="F179" s="8" t="s">
        <v>1231</v>
      </c>
      <c r="G179" s="6" t="s">
        <v>74</v>
      </c>
      <c r="H179" s="6" t="s">
        <v>113</v>
      </c>
      <c r="I179" s="8" t="s">
        <v>140</v>
      </c>
      <c r="J179" s="9">
        <v>1</v>
      </c>
      <c r="K179" s="9">
        <v>276</v>
      </c>
      <c r="L179" s="9">
        <v>2019</v>
      </c>
      <c r="M179" s="8" t="s">
        <v>1232</v>
      </c>
      <c r="N179" s="8" t="s">
        <v>40</v>
      </c>
      <c r="O179" s="8" t="s">
        <v>41</v>
      </c>
      <c r="P179" s="6" t="s">
        <v>133</v>
      </c>
      <c r="Q179" s="8" t="s">
        <v>125</v>
      </c>
      <c r="R179" s="10" t="s">
        <v>1233</v>
      </c>
      <c r="S179" s="11"/>
      <c r="T179" s="6"/>
      <c r="U179" s="28" t="str">
        <f>HYPERLINK("https://media.infra-m.ru/0982/0982547/cover/982547.jpg", "Обложка")</f>
        <v>Обложка</v>
      </c>
      <c r="V179" s="28" t="str">
        <f>HYPERLINK("https://znanium.com/catalog/product/982547", "Ознакомиться")</f>
        <v>Ознакомиться</v>
      </c>
      <c r="W179" s="8" t="s">
        <v>152</v>
      </c>
      <c r="X179" s="6"/>
      <c r="Y179" s="6"/>
      <c r="Z179" s="6"/>
      <c r="AA179" s="6" t="s">
        <v>108</v>
      </c>
    </row>
    <row r="180" spans="1:27" s="4" customFormat="1" ht="51.95" customHeight="1">
      <c r="A180" s="5">
        <v>0</v>
      </c>
      <c r="B180" s="6" t="s">
        <v>1234</v>
      </c>
      <c r="C180" s="7">
        <v>690</v>
      </c>
      <c r="D180" s="8" t="s">
        <v>1235</v>
      </c>
      <c r="E180" s="8" t="s">
        <v>1236</v>
      </c>
      <c r="F180" s="8" t="s">
        <v>1237</v>
      </c>
      <c r="G180" s="6" t="s">
        <v>52</v>
      </c>
      <c r="H180" s="6" t="s">
        <v>38</v>
      </c>
      <c r="I180" s="8"/>
      <c r="J180" s="9">
        <v>1</v>
      </c>
      <c r="K180" s="9">
        <v>168</v>
      </c>
      <c r="L180" s="9">
        <v>2022</v>
      </c>
      <c r="M180" s="8" t="s">
        <v>1238</v>
      </c>
      <c r="N180" s="8" t="s">
        <v>40</v>
      </c>
      <c r="O180" s="8" t="s">
        <v>41</v>
      </c>
      <c r="P180" s="6" t="s">
        <v>161</v>
      </c>
      <c r="Q180" s="8" t="s">
        <v>43</v>
      </c>
      <c r="R180" s="10" t="s">
        <v>1239</v>
      </c>
      <c r="S180" s="11"/>
      <c r="T180" s="6"/>
      <c r="U180" s="28" t="str">
        <f>HYPERLINK("https://media.infra-m.ru/1834/1834412/cover/1834412.jpg", "Обложка")</f>
        <v>Обложка</v>
      </c>
      <c r="V180" s="28" t="str">
        <f>HYPERLINK("https://znanium.com/catalog/product/1834412", "Ознакомиться")</f>
        <v>Ознакомиться</v>
      </c>
      <c r="W180" s="8" t="s">
        <v>46</v>
      </c>
      <c r="X180" s="6"/>
      <c r="Y180" s="6"/>
      <c r="Z180" s="6"/>
      <c r="AA180" s="6" t="s">
        <v>165</v>
      </c>
    </row>
    <row r="181" spans="1:27" s="4" customFormat="1" ht="51.95" customHeight="1">
      <c r="A181" s="5">
        <v>0</v>
      </c>
      <c r="B181" s="6" t="s">
        <v>1240</v>
      </c>
      <c r="C181" s="13">
        <v>1520</v>
      </c>
      <c r="D181" s="8" t="s">
        <v>1241</v>
      </c>
      <c r="E181" s="8" t="s">
        <v>1242</v>
      </c>
      <c r="F181" s="8" t="s">
        <v>1243</v>
      </c>
      <c r="G181" s="6" t="s">
        <v>52</v>
      </c>
      <c r="H181" s="6" t="s">
        <v>113</v>
      </c>
      <c r="I181" s="8" t="s">
        <v>75</v>
      </c>
      <c r="J181" s="9">
        <v>1</v>
      </c>
      <c r="K181" s="9">
        <v>336</v>
      </c>
      <c r="L181" s="9">
        <v>2023</v>
      </c>
      <c r="M181" s="8" t="s">
        <v>1244</v>
      </c>
      <c r="N181" s="8" t="s">
        <v>40</v>
      </c>
      <c r="O181" s="8" t="s">
        <v>41</v>
      </c>
      <c r="P181" s="6" t="s">
        <v>42</v>
      </c>
      <c r="Q181" s="8" t="s">
        <v>43</v>
      </c>
      <c r="R181" s="10" t="s">
        <v>1245</v>
      </c>
      <c r="S181" s="11" t="s">
        <v>1246</v>
      </c>
      <c r="T181" s="6" t="s">
        <v>117</v>
      </c>
      <c r="U181" s="28" t="str">
        <f>HYPERLINK("https://media.infra-m.ru/1984/1984021/cover/1984021.jpg", "Обложка")</f>
        <v>Обложка</v>
      </c>
      <c r="V181" s="28" t="str">
        <f>HYPERLINK("https://znanium.com/catalog/product/1984021", "Ознакомиться")</f>
        <v>Ознакомиться</v>
      </c>
      <c r="W181" s="8" t="s">
        <v>189</v>
      </c>
      <c r="X181" s="6"/>
      <c r="Y181" s="6"/>
      <c r="Z181" s="6"/>
      <c r="AA181" s="6" t="s">
        <v>165</v>
      </c>
    </row>
    <row r="182" spans="1:27" s="4" customFormat="1" ht="51.95" customHeight="1">
      <c r="A182" s="5">
        <v>0</v>
      </c>
      <c r="B182" s="6" t="s">
        <v>1247</v>
      </c>
      <c r="C182" s="13">
        <v>1580</v>
      </c>
      <c r="D182" s="8" t="s">
        <v>1248</v>
      </c>
      <c r="E182" s="8" t="s">
        <v>1242</v>
      </c>
      <c r="F182" s="8" t="s">
        <v>1243</v>
      </c>
      <c r="G182" s="6" t="s">
        <v>52</v>
      </c>
      <c r="H182" s="6" t="s">
        <v>113</v>
      </c>
      <c r="I182" s="8" t="s">
        <v>64</v>
      </c>
      <c r="J182" s="9">
        <v>1</v>
      </c>
      <c r="K182" s="9">
        <v>336</v>
      </c>
      <c r="L182" s="9">
        <v>2024</v>
      </c>
      <c r="M182" s="8" t="s">
        <v>1249</v>
      </c>
      <c r="N182" s="8" t="s">
        <v>40</v>
      </c>
      <c r="O182" s="8" t="s">
        <v>41</v>
      </c>
      <c r="P182" s="6" t="s">
        <v>161</v>
      </c>
      <c r="Q182" s="8" t="s">
        <v>66</v>
      </c>
      <c r="R182" s="10" t="s">
        <v>1250</v>
      </c>
      <c r="S182" s="11" t="s">
        <v>1251</v>
      </c>
      <c r="T182" s="6" t="s">
        <v>117</v>
      </c>
      <c r="U182" s="28" t="str">
        <f>HYPERLINK("https://media.infra-m.ru/2094/2094377/cover/2094377.jpg", "Обложка")</f>
        <v>Обложка</v>
      </c>
      <c r="V182" s="28" t="str">
        <f>HYPERLINK("https://znanium.com/catalog/product/2094377", "Ознакомиться")</f>
        <v>Ознакомиться</v>
      </c>
      <c r="W182" s="8" t="s">
        <v>189</v>
      </c>
      <c r="X182" s="6"/>
      <c r="Y182" s="6"/>
      <c r="Z182" s="6" t="s">
        <v>69</v>
      </c>
      <c r="AA182" s="6" t="s">
        <v>226</v>
      </c>
    </row>
    <row r="183" spans="1:27" s="4" customFormat="1" ht="51.95" customHeight="1">
      <c r="A183" s="5">
        <v>0</v>
      </c>
      <c r="B183" s="6" t="s">
        <v>1252</v>
      </c>
      <c r="C183" s="13">
        <v>1430</v>
      </c>
      <c r="D183" s="8" t="s">
        <v>1253</v>
      </c>
      <c r="E183" s="8" t="s">
        <v>1254</v>
      </c>
      <c r="F183" s="8" t="s">
        <v>1255</v>
      </c>
      <c r="G183" s="6" t="s">
        <v>52</v>
      </c>
      <c r="H183" s="6" t="s">
        <v>38</v>
      </c>
      <c r="I183" s="8" t="s">
        <v>54</v>
      </c>
      <c r="J183" s="9">
        <v>1</v>
      </c>
      <c r="K183" s="9">
        <v>310</v>
      </c>
      <c r="L183" s="9">
        <v>2024</v>
      </c>
      <c r="M183" s="8" t="s">
        <v>1256</v>
      </c>
      <c r="N183" s="8" t="s">
        <v>40</v>
      </c>
      <c r="O183" s="8" t="s">
        <v>41</v>
      </c>
      <c r="P183" s="6" t="s">
        <v>42</v>
      </c>
      <c r="Q183" s="8" t="s">
        <v>43</v>
      </c>
      <c r="R183" s="10" t="s">
        <v>1257</v>
      </c>
      <c r="S183" s="11" t="s">
        <v>1258</v>
      </c>
      <c r="T183" s="6" t="s">
        <v>117</v>
      </c>
      <c r="U183" s="28" t="str">
        <f>HYPERLINK("https://media.infra-m.ru/2073/2073497/cover/2073497.jpg", "Обложка")</f>
        <v>Обложка</v>
      </c>
      <c r="V183" s="28" t="str">
        <f>HYPERLINK("https://znanium.com/catalog/product/2073497", "Ознакомиться")</f>
        <v>Ознакомиться</v>
      </c>
      <c r="W183" s="8" t="s">
        <v>46</v>
      </c>
      <c r="X183" s="6"/>
      <c r="Y183" s="6"/>
      <c r="Z183" s="6"/>
      <c r="AA183" s="6" t="s">
        <v>205</v>
      </c>
    </row>
    <row r="184" spans="1:27" s="4" customFormat="1" ht="42" customHeight="1">
      <c r="A184" s="5">
        <v>0</v>
      </c>
      <c r="B184" s="6" t="s">
        <v>1259</v>
      </c>
      <c r="C184" s="7">
        <v>660</v>
      </c>
      <c r="D184" s="8" t="s">
        <v>1260</v>
      </c>
      <c r="E184" s="8" t="s">
        <v>1261</v>
      </c>
      <c r="F184" s="8" t="s">
        <v>1262</v>
      </c>
      <c r="G184" s="6" t="s">
        <v>74</v>
      </c>
      <c r="H184" s="6" t="s">
        <v>113</v>
      </c>
      <c r="I184" s="8" t="s">
        <v>131</v>
      </c>
      <c r="J184" s="9">
        <v>1</v>
      </c>
      <c r="K184" s="9">
        <v>143</v>
      </c>
      <c r="L184" s="9">
        <v>2024</v>
      </c>
      <c r="M184" s="8" t="s">
        <v>1263</v>
      </c>
      <c r="N184" s="8" t="s">
        <v>40</v>
      </c>
      <c r="O184" s="8" t="s">
        <v>41</v>
      </c>
      <c r="P184" s="6" t="s">
        <v>133</v>
      </c>
      <c r="Q184" s="8" t="s">
        <v>125</v>
      </c>
      <c r="R184" s="10" t="s">
        <v>1264</v>
      </c>
      <c r="S184" s="11"/>
      <c r="T184" s="6"/>
      <c r="U184" s="28" t="str">
        <f>HYPERLINK("https://media.infra-m.ru/2081/2081065/cover/2081065.jpg", "Обложка")</f>
        <v>Обложка</v>
      </c>
      <c r="V184" s="12"/>
      <c r="W184" s="8" t="s">
        <v>135</v>
      </c>
      <c r="X184" s="6"/>
      <c r="Y184" s="6"/>
      <c r="Z184" s="6"/>
      <c r="AA184" s="6" t="s">
        <v>120</v>
      </c>
    </row>
    <row r="185" spans="1:27" s="4" customFormat="1" ht="51.95" customHeight="1">
      <c r="A185" s="5">
        <v>0</v>
      </c>
      <c r="B185" s="6" t="s">
        <v>1265</v>
      </c>
      <c r="C185" s="13">
        <v>1140</v>
      </c>
      <c r="D185" s="8" t="s">
        <v>1266</v>
      </c>
      <c r="E185" s="8" t="s">
        <v>1267</v>
      </c>
      <c r="F185" s="8" t="s">
        <v>1268</v>
      </c>
      <c r="G185" s="6" t="s">
        <v>37</v>
      </c>
      <c r="H185" s="6" t="s">
        <v>113</v>
      </c>
      <c r="I185" s="8" t="s">
        <v>64</v>
      </c>
      <c r="J185" s="9">
        <v>1</v>
      </c>
      <c r="K185" s="9">
        <v>333</v>
      </c>
      <c r="L185" s="9">
        <v>2020</v>
      </c>
      <c r="M185" s="8" t="s">
        <v>1269</v>
      </c>
      <c r="N185" s="8" t="s">
        <v>40</v>
      </c>
      <c r="O185" s="8" t="s">
        <v>41</v>
      </c>
      <c r="P185" s="6" t="s">
        <v>42</v>
      </c>
      <c r="Q185" s="8" t="s">
        <v>66</v>
      </c>
      <c r="R185" s="10" t="s">
        <v>1270</v>
      </c>
      <c r="S185" s="11" t="s">
        <v>1271</v>
      </c>
      <c r="T185" s="6"/>
      <c r="U185" s="28" t="str">
        <f>HYPERLINK("https://media.infra-m.ru/1084/1084915/cover/1084915.jpg", "Обложка")</f>
        <v>Обложка</v>
      </c>
      <c r="V185" s="28" t="str">
        <f>HYPERLINK("https://znanium.com/catalog/product/1084915", "Ознакомиться")</f>
        <v>Ознакомиться</v>
      </c>
      <c r="W185" s="8" t="s">
        <v>1272</v>
      </c>
      <c r="X185" s="6"/>
      <c r="Y185" s="6"/>
      <c r="Z185" s="6" t="s">
        <v>69</v>
      </c>
      <c r="AA185" s="6" t="s">
        <v>253</v>
      </c>
    </row>
    <row r="186" spans="1:27" s="4" customFormat="1" ht="51.95" customHeight="1">
      <c r="A186" s="5">
        <v>0</v>
      </c>
      <c r="B186" s="6" t="s">
        <v>1273</v>
      </c>
      <c r="C186" s="13">
        <v>1534</v>
      </c>
      <c r="D186" s="8" t="s">
        <v>1274</v>
      </c>
      <c r="E186" s="8" t="s">
        <v>1275</v>
      </c>
      <c r="F186" s="8" t="s">
        <v>1268</v>
      </c>
      <c r="G186" s="6" t="s">
        <v>37</v>
      </c>
      <c r="H186" s="6" t="s">
        <v>113</v>
      </c>
      <c r="I186" s="8" t="s">
        <v>75</v>
      </c>
      <c r="J186" s="9">
        <v>1</v>
      </c>
      <c r="K186" s="9">
        <v>333</v>
      </c>
      <c r="L186" s="9">
        <v>2023</v>
      </c>
      <c r="M186" s="8" t="s">
        <v>1276</v>
      </c>
      <c r="N186" s="8" t="s">
        <v>40</v>
      </c>
      <c r="O186" s="8" t="s">
        <v>41</v>
      </c>
      <c r="P186" s="6" t="s">
        <v>42</v>
      </c>
      <c r="Q186" s="8" t="s">
        <v>43</v>
      </c>
      <c r="R186" s="10" t="s">
        <v>1277</v>
      </c>
      <c r="S186" s="11" t="s">
        <v>1278</v>
      </c>
      <c r="T186" s="6"/>
      <c r="U186" s="28" t="str">
        <f>HYPERLINK("https://media.infra-m.ru/1927/1927324/cover/1927324.jpg", "Обложка")</f>
        <v>Обложка</v>
      </c>
      <c r="V186" s="28" t="str">
        <f>HYPERLINK("https://znanium.com/catalog/product/959073", "Ознакомиться")</f>
        <v>Ознакомиться</v>
      </c>
      <c r="W186" s="8" t="s">
        <v>1272</v>
      </c>
      <c r="X186" s="6"/>
      <c r="Y186" s="6"/>
      <c r="Z186" s="6"/>
      <c r="AA186" s="6" t="s">
        <v>226</v>
      </c>
    </row>
    <row r="187" spans="1:27" s="4" customFormat="1" ht="51.95" customHeight="1">
      <c r="A187" s="5">
        <v>0</v>
      </c>
      <c r="B187" s="6" t="s">
        <v>1279</v>
      </c>
      <c r="C187" s="13">
        <v>1450</v>
      </c>
      <c r="D187" s="8" t="s">
        <v>1280</v>
      </c>
      <c r="E187" s="8" t="s">
        <v>1281</v>
      </c>
      <c r="F187" s="8" t="s">
        <v>1282</v>
      </c>
      <c r="G187" s="6" t="s">
        <v>74</v>
      </c>
      <c r="H187" s="6" t="s">
        <v>83</v>
      </c>
      <c r="I187" s="8" t="s">
        <v>75</v>
      </c>
      <c r="J187" s="9">
        <v>1</v>
      </c>
      <c r="K187" s="9">
        <v>320</v>
      </c>
      <c r="L187" s="9">
        <v>2023</v>
      </c>
      <c r="M187" s="8" t="s">
        <v>1283</v>
      </c>
      <c r="N187" s="8" t="s">
        <v>40</v>
      </c>
      <c r="O187" s="8" t="s">
        <v>41</v>
      </c>
      <c r="P187" s="6" t="s">
        <v>42</v>
      </c>
      <c r="Q187" s="8" t="s">
        <v>43</v>
      </c>
      <c r="R187" s="10" t="s">
        <v>1284</v>
      </c>
      <c r="S187" s="11" t="s">
        <v>1285</v>
      </c>
      <c r="T187" s="6" t="s">
        <v>117</v>
      </c>
      <c r="U187" s="28" t="str">
        <f>HYPERLINK("https://media.infra-m.ru/2038/2038247/cover/2038247.jpg", "Обложка")</f>
        <v>Обложка</v>
      </c>
      <c r="V187" s="28" t="str">
        <f>HYPERLINK("https://znanium.com/catalog/product/2038247", "Ознакомиться")</f>
        <v>Ознакомиться</v>
      </c>
      <c r="W187" s="8" t="s">
        <v>143</v>
      </c>
      <c r="X187" s="6"/>
      <c r="Y187" s="6"/>
      <c r="Z187" s="6"/>
      <c r="AA187" s="6" t="s">
        <v>1286</v>
      </c>
    </row>
    <row r="188" spans="1:27" s="4" customFormat="1" ht="51.95" customHeight="1">
      <c r="A188" s="5">
        <v>0</v>
      </c>
      <c r="B188" s="6" t="s">
        <v>1287</v>
      </c>
      <c r="C188" s="7">
        <v>790</v>
      </c>
      <c r="D188" s="8" t="s">
        <v>1288</v>
      </c>
      <c r="E188" s="8" t="s">
        <v>1289</v>
      </c>
      <c r="F188" s="8" t="s">
        <v>1290</v>
      </c>
      <c r="G188" s="6" t="s">
        <v>74</v>
      </c>
      <c r="H188" s="6" t="s">
        <v>83</v>
      </c>
      <c r="I188" s="8" t="s">
        <v>75</v>
      </c>
      <c r="J188" s="9">
        <v>1</v>
      </c>
      <c r="K188" s="9">
        <v>224</v>
      </c>
      <c r="L188" s="9">
        <v>2019</v>
      </c>
      <c r="M188" s="8" t="s">
        <v>1291</v>
      </c>
      <c r="N188" s="8" t="s">
        <v>40</v>
      </c>
      <c r="O188" s="8" t="s">
        <v>41</v>
      </c>
      <c r="P188" s="6" t="s">
        <v>42</v>
      </c>
      <c r="Q188" s="8" t="s">
        <v>43</v>
      </c>
      <c r="R188" s="10" t="s">
        <v>1284</v>
      </c>
      <c r="S188" s="11" t="s">
        <v>1285</v>
      </c>
      <c r="T188" s="6" t="s">
        <v>117</v>
      </c>
      <c r="U188" s="28" t="str">
        <f>HYPERLINK("https://media.infra-m.ru/0982/0982197/cover/982197.jpg", "Обложка")</f>
        <v>Обложка</v>
      </c>
      <c r="V188" s="28" t="str">
        <f>HYPERLINK("https://znanium.com/catalog/product/2038247", "Ознакомиться")</f>
        <v>Ознакомиться</v>
      </c>
      <c r="W188" s="8" t="s">
        <v>143</v>
      </c>
      <c r="X188" s="6"/>
      <c r="Y188" s="6"/>
      <c r="Z188" s="6"/>
      <c r="AA188" s="6" t="s">
        <v>181</v>
      </c>
    </row>
    <row r="189" spans="1:27" s="4" customFormat="1" ht="51.95" customHeight="1">
      <c r="A189" s="5">
        <v>0</v>
      </c>
      <c r="B189" s="6" t="s">
        <v>1292</v>
      </c>
      <c r="C189" s="13">
        <v>1180</v>
      </c>
      <c r="D189" s="8" t="s">
        <v>1293</v>
      </c>
      <c r="E189" s="8" t="s">
        <v>1294</v>
      </c>
      <c r="F189" s="8" t="s">
        <v>1295</v>
      </c>
      <c r="G189" s="6" t="s">
        <v>52</v>
      </c>
      <c r="H189" s="6" t="s">
        <v>113</v>
      </c>
      <c r="I189" s="8" t="s">
        <v>54</v>
      </c>
      <c r="J189" s="9">
        <v>1</v>
      </c>
      <c r="K189" s="9">
        <v>256</v>
      </c>
      <c r="L189" s="9">
        <v>2024</v>
      </c>
      <c r="M189" s="8" t="s">
        <v>1296</v>
      </c>
      <c r="N189" s="8" t="s">
        <v>40</v>
      </c>
      <c r="O189" s="8" t="s">
        <v>41</v>
      </c>
      <c r="P189" s="6" t="s">
        <v>42</v>
      </c>
      <c r="Q189" s="8" t="s">
        <v>43</v>
      </c>
      <c r="R189" s="10" t="s">
        <v>1297</v>
      </c>
      <c r="S189" s="11" t="s">
        <v>1298</v>
      </c>
      <c r="T189" s="6" t="s">
        <v>117</v>
      </c>
      <c r="U189" s="28" t="str">
        <f>HYPERLINK("https://media.infra-m.ru/2084/2084144/cover/2084144.jpg", "Обложка")</f>
        <v>Обложка</v>
      </c>
      <c r="V189" s="28" t="str">
        <f>HYPERLINK("https://znanium.com/catalog/product/2084144", "Ознакомиться")</f>
        <v>Ознакомиться</v>
      </c>
      <c r="W189" s="8" t="s">
        <v>1054</v>
      </c>
      <c r="X189" s="6"/>
      <c r="Y189" s="6"/>
      <c r="Z189" s="6"/>
      <c r="AA189" s="6" t="s">
        <v>165</v>
      </c>
    </row>
    <row r="190" spans="1:27" s="4" customFormat="1" ht="51.95" customHeight="1">
      <c r="A190" s="5">
        <v>0</v>
      </c>
      <c r="B190" s="6" t="s">
        <v>1299</v>
      </c>
      <c r="C190" s="7">
        <v>894</v>
      </c>
      <c r="D190" s="8" t="s">
        <v>1300</v>
      </c>
      <c r="E190" s="8" t="s">
        <v>1301</v>
      </c>
      <c r="F190" s="8" t="s">
        <v>337</v>
      </c>
      <c r="G190" s="6" t="s">
        <v>52</v>
      </c>
      <c r="H190" s="6" t="s">
        <v>113</v>
      </c>
      <c r="I190" s="8" t="s">
        <v>368</v>
      </c>
      <c r="J190" s="9">
        <v>1</v>
      </c>
      <c r="K190" s="9">
        <v>197</v>
      </c>
      <c r="L190" s="9">
        <v>2023</v>
      </c>
      <c r="M190" s="8" t="s">
        <v>1302</v>
      </c>
      <c r="N190" s="8" t="s">
        <v>40</v>
      </c>
      <c r="O190" s="8" t="s">
        <v>41</v>
      </c>
      <c r="P190" s="6" t="s">
        <v>42</v>
      </c>
      <c r="Q190" s="8" t="s">
        <v>43</v>
      </c>
      <c r="R190" s="10" t="s">
        <v>831</v>
      </c>
      <c r="S190" s="11" t="s">
        <v>1303</v>
      </c>
      <c r="T190" s="6"/>
      <c r="U190" s="28" t="str">
        <f>HYPERLINK("https://media.infra-m.ru/2021/2021460/cover/2021460.jpg", "Обложка")</f>
        <v>Обложка</v>
      </c>
      <c r="V190" s="28" t="str">
        <f>HYPERLINK("https://znanium.com/catalog/product/978856", "Ознакомиться")</f>
        <v>Ознакомиться</v>
      </c>
      <c r="W190" s="8" t="s">
        <v>46</v>
      </c>
      <c r="X190" s="6"/>
      <c r="Y190" s="6"/>
      <c r="Z190" s="6"/>
      <c r="AA190" s="6" t="s">
        <v>120</v>
      </c>
    </row>
    <row r="191" spans="1:27" s="4" customFormat="1" ht="51.95" customHeight="1">
      <c r="A191" s="5">
        <v>0</v>
      </c>
      <c r="B191" s="6" t="s">
        <v>1304</v>
      </c>
      <c r="C191" s="7">
        <v>524</v>
      </c>
      <c r="D191" s="8" t="s">
        <v>1305</v>
      </c>
      <c r="E191" s="8" t="s">
        <v>1306</v>
      </c>
      <c r="F191" s="8" t="s">
        <v>1307</v>
      </c>
      <c r="G191" s="6" t="s">
        <v>74</v>
      </c>
      <c r="H191" s="6" t="s">
        <v>113</v>
      </c>
      <c r="I191" s="8" t="s">
        <v>131</v>
      </c>
      <c r="J191" s="9">
        <v>1</v>
      </c>
      <c r="K191" s="9">
        <v>117</v>
      </c>
      <c r="L191" s="9">
        <v>2023</v>
      </c>
      <c r="M191" s="8" t="s">
        <v>1308</v>
      </c>
      <c r="N191" s="8" t="s">
        <v>40</v>
      </c>
      <c r="O191" s="8" t="s">
        <v>41</v>
      </c>
      <c r="P191" s="6" t="s">
        <v>133</v>
      </c>
      <c r="Q191" s="8" t="s">
        <v>125</v>
      </c>
      <c r="R191" s="10" t="s">
        <v>1309</v>
      </c>
      <c r="S191" s="11"/>
      <c r="T191" s="6"/>
      <c r="U191" s="28" t="str">
        <f>HYPERLINK("https://media.infra-m.ru/2006/2006868/cover/2006868.jpg", "Обложка")</f>
        <v>Обложка</v>
      </c>
      <c r="V191" s="12"/>
      <c r="W191" s="8" t="s">
        <v>135</v>
      </c>
      <c r="X191" s="6"/>
      <c r="Y191" s="6"/>
      <c r="Z191" s="6"/>
      <c r="AA191" s="6" t="s">
        <v>120</v>
      </c>
    </row>
    <row r="192" spans="1:27" s="4" customFormat="1" ht="42" customHeight="1">
      <c r="A192" s="5">
        <v>0</v>
      </c>
      <c r="B192" s="6" t="s">
        <v>1310</v>
      </c>
      <c r="C192" s="7">
        <v>850</v>
      </c>
      <c r="D192" s="8" t="s">
        <v>1311</v>
      </c>
      <c r="E192" s="8" t="s">
        <v>1312</v>
      </c>
      <c r="F192" s="8" t="s">
        <v>1313</v>
      </c>
      <c r="G192" s="6" t="s">
        <v>74</v>
      </c>
      <c r="H192" s="6" t="s">
        <v>113</v>
      </c>
      <c r="I192" s="8" t="s">
        <v>170</v>
      </c>
      <c r="J192" s="9">
        <v>1</v>
      </c>
      <c r="K192" s="9">
        <v>182</v>
      </c>
      <c r="L192" s="9">
        <v>2024</v>
      </c>
      <c r="M192" s="8" t="s">
        <v>1314</v>
      </c>
      <c r="N192" s="8" t="s">
        <v>40</v>
      </c>
      <c r="O192" s="8" t="s">
        <v>41</v>
      </c>
      <c r="P192" s="6" t="s">
        <v>133</v>
      </c>
      <c r="Q192" s="8" t="s">
        <v>125</v>
      </c>
      <c r="R192" s="10" t="s">
        <v>1315</v>
      </c>
      <c r="S192" s="11"/>
      <c r="T192" s="6"/>
      <c r="U192" s="28" t="str">
        <f>HYPERLINK("https://media.infra-m.ru/2061/2061359/cover/2061359.jpg", "Обложка")</f>
        <v>Обложка</v>
      </c>
      <c r="V192" s="28" t="str">
        <f>HYPERLINK("https://znanium.com/catalog/product/2061359", "Ознакомиться")</f>
        <v>Ознакомиться</v>
      </c>
      <c r="W192" s="8" t="s">
        <v>46</v>
      </c>
      <c r="X192" s="6"/>
      <c r="Y192" s="6"/>
      <c r="Z192" s="6"/>
      <c r="AA192" s="6" t="s">
        <v>253</v>
      </c>
    </row>
    <row r="193" spans="1:27" s="4" customFormat="1" ht="51.95" customHeight="1">
      <c r="A193" s="5">
        <v>0</v>
      </c>
      <c r="B193" s="6" t="s">
        <v>1316</v>
      </c>
      <c r="C193" s="13">
        <v>1090</v>
      </c>
      <c r="D193" s="8" t="s">
        <v>1317</v>
      </c>
      <c r="E193" s="8" t="s">
        <v>1318</v>
      </c>
      <c r="F193" s="8" t="s">
        <v>1319</v>
      </c>
      <c r="G193" s="6" t="s">
        <v>37</v>
      </c>
      <c r="H193" s="6" t="s">
        <v>113</v>
      </c>
      <c r="I193" s="8" t="s">
        <v>140</v>
      </c>
      <c r="J193" s="9">
        <v>1</v>
      </c>
      <c r="K193" s="9">
        <v>226</v>
      </c>
      <c r="L193" s="9">
        <v>2023</v>
      </c>
      <c r="M193" s="8" t="s">
        <v>1320</v>
      </c>
      <c r="N193" s="8" t="s">
        <v>40</v>
      </c>
      <c r="O193" s="8" t="s">
        <v>41</v>
      </c>
      <c r="P193" s="6" t="s">
        <v>133</v>
      </c>
      <c r="Q193" s="8" t="s">
        <v>125</v>
      </c>
      <c r="R193" s="10" t="s">
        <v>1321</v>
      </c>
      <c r="S193" s="11"/>
      <c r="T193" s="6"/>
      <c r="U193" s="28" t="str">
        <f>HYPERLINK("https://media.infra-m.ru/1942/1942595/cover/1942595.jpg", "Обложка")</f>
        <v>Обложка</v>
      </c>
      <c r="V193" s="28" t="str">
        <f>HYPERLINK("https://znanium.com/catalog/product/1942595", "Ознакомиться")</f>
        <v>Ознакомиться</v>
      </c>
      <c r="W193" s="8" t="s">
        <v>1322</v>
      </c>
      <c r="X193" s="6" t="s">
        <v>1323</v>
      </c>
      <c r="Y193" s="6"/>
      <c r="Z193" s="6"/>
      <c r="AA193" s="6" t="s">
        <v>687</v>
      </c>
    </row>
    <row r="194" spans="1:27" s="4" customFormat="1" ht="51.95" customHeight="1">
      <c r="A194" s="5">
        <v>0</v>
      </c>
      <c r="B194" s="6" t="s">
        <v>1324</v>
      </c>
      <c r="C194" s="7">
        <v>864.9</v>
      </c>
      <c r="D194" s="8" t="s">
        <v>1325</v>
      </c>
      <c r="E194" s="8" t="s">
        <v>1326</v>
      </c>
      <c r="F194" s="8" t="s">
        <v>1327</v>
      </c>
      <c r="G194" s="6" t="s">
        <v>37</v>
      </c>
      <c r="H194" s="6" t="s">
        <v>113</v>
      </c>
      <c r="I194" s="8" t="s">
        <v>467</v>
      </c>
      <c r="J194" s="9">
        <v>1</v>
      </c>
      <c r="K194" s="9">
        <v>192</v>
      </c>
      <c r="L194" s="9">
        <v>2023</v>
      </c>
      <c r="M194" s="8" t="s">
        <v>1328</v>
      </c>
      <c r="N194" s="8" t="s">
        <v>40</v>
      </c>
      <c r="O194" s="8" t="s">
        <v>41</v>
      </c>
      <c r="P194" s="6" t="s">
        <v>42</v>
      </c>
      <c r="Q194" s="8" t="s">
        <v>485</v>
      </c>
      <c r="R194" s="10" t="s">
        <v>1329</v>
      </c>
      <c r="S194" s="11" t="s">
        <v>1330</v>
      </c>
      <c r="T194" s="6"/>
      <c r="U194" s="28" t="str">
        <f>HYPERLINK("https://media.infra-m.ru/1964/1964970/cover/1964970.jpg", "Обложка")</f>
        <v>Обложка</v>
      </c>
      <c r="V194" s="28" t="str">
        <f>HYPERLINK("https://znanium.com/catalog/product/1013698", "Ознакомиться")</f>
        <v>Ознакомиться</v>
      </c>
      <c r="W194" s="8" t="s">
        <v>1331</v>
      </c>
      <c r="X194" s="6"/>
      <c r="Y194" s="6"/>
      <c r="Z194" s="6"/>
      <c r="AA194" s="6" t="s">
        <v>245</v>
      </c>
    </row>
    <row r="195" spans="1:27" s="4" customFormat="1" ht="51.95" customHeight="1">
      <c r="A195" s="5">
        <v>0</v>
      </c>
      <c r="B195" s="6" t="s">
        <v>1332</v>
      </c>
      <c r="C195" s="7">
        <v>770</v>
      </c>
      <c r="D195" s="8" t="s">
        <v>1333</v>
      </c>
      <c r="E195" s="8" t="s">
        <v>1334</v>
      </c>
      <c r="F195" s="8" t="s">
        <v>651</v>
      </c>
      <c r="G195" s="6" t="s">
        <v>37</v>
      </c>
      <c r="H195" s="6" t="s">
        <v>113</v>
      </c>
      <c r="I195" s="8" t="s">
        <v>64</v>
      </c>
      <c r="J195" s="9">
        <v>1</v>
      </c>
      <c r="K195" s="9">
        <v>184</v>
      </c>
      <c r="L195" s="9">
        <v>2022</v>
      </c>
      <c r="M195" s="8" t="s">
        <v>1335</v>
      </c>
      <c r="N195" s="8" t="s">
        <v>40</v>
      </c>
      <c r="O195" s="8" t="s">
        <v>41</v>
      </c>
      <c r="P195" s="6" t="s">
        <v>42</v>
      </c>
      <c r="Q195" s="8" t="s">
        <v>66</v>
      </c>
      <c r="R195" s="10" t="s">
        <v>1084</v>
      </c>
      <c r="S195" s="11" t="s">
        <v>1336</v>
      </c>
      <c r="T195" s="6"/>
      <c r="U195" s="28" t="str">
        <f>HYPERLINK("https://media.infra-m.ru/1846/1846131/cover/1846131.jpg", "Обложка")</f>
        <v>Обложка</v>
      </c>
      <c r="V195" s="28" t="str">
        <f>HYPERLINK("https://znanium.com/catalog/product/1846131", "Ознакомиться")</f>
        <v>Ознакомиться</v>
      </c>
      <c r="W195" s="8" t="s">
        <v>655</v>
      </c>
      <c r="X195" s="6"/>
      <c r="Y195" s="6"/>
      <c r="Z195" s="6"/>
      <c r="AA195" s="6" t="s">
        <v>275</v>
      </c>
    </row>
    <row r="196" spans="1:27" s="4" customFormat="1" ht="51.95" customHeight="1">
      <c r="A196" s="5">
        <v>0</v>
      </c>
      <c r="B196" s="6" t="s">
        <v>1337</v>
      </c>
      <c r="C196" s="13">
        <v>1700</v>
      </c>
      <c r="D196" s="8" t="s">
        <v>1338</v>
      </c>
      <c r="E196" s="8" t="s">
        <v>1339</v>
      </c>
      <c r="F196" s="8" t="s">
        <v>1340</v>
      </c>
      <c r="G196" s="6" t="s">
        <v>52</v>
      </c>
      <c r="H196" s="6" t="s">
        <v>113</v>
      </c>
      <c r="I196" s="8" t="s">
        <v>1341</v>
      </c>
      <c r="J196" s="9">
        <v>1</v>
      </c>
      <c r="K196" s="9">
        <v>377</v>
      </c>
      <c r="L196" s="9">
        <v>2023</v>
      </c>
      <c r="M196" s="8" t="s">
        <v>1342</v>
      </c>
      <c r="N196" s="8" t="s">
        <v>40</v>
      </c>
      <c r="O196" s="8" t="s">
        <v>41</v>
      </c>
      <c r="P196" s="6" t="s">
        <v>161</v>
      </c>
      <c r="Q196" s="8" t="s">
        <v>1343</v>
      </c>
      <c r="R196" s="10" t="s">
        <v>1344</v>
      </c>
      <c r="S196" s="11" t="s">
        <v>1345</v>
      </c>
      <c r="T196" s="6"/>
      <c r="U196" s="28" t="str">
        <f>HYPERLINK("https://media.infra-m.ru/2000/2000875/cover/2000875.jpg", "Обложка")</f>
        <v>Обложка</v>
      </c>
      <c r="V196" s="28" t="str">
        <f>HYPERLINK("https://znanium.com/catalog/product/2000875", "Ознакомиться")</f>
        <v>Ознакомиться</v>
      </c>
      <c r="W196" s="8" t="s">
        <v>1346</v>
      </c>
      <c r="X196" s="6"/>
      <c r="Y196" s="6"/>
      <c r="Z196" s="6"/>
      <c r="AA196" s="6" t="s">
        <v>59</v>
      </c>
    </row>
    <row r="197" spans="1:27" s="4" customFormat="1" ht="51.95" customHeight="1">
      <c r="A197" s="5">
        <v>0</v>
      </c>
      <c r="B197" s="6" t="s">
        <v>1347</v>
      </c>
      <c r="C197" s="13">
        <v>1050</v>
      </c>
      <c r="D197" s="8" t="s">
        <v>1348</v>
      </c>
      <c r="E197" s="8" t="s">
        <v>1349</v>
      </c>
      <c r="F197" s="8" t="s">
        <v>1350</v>
      </c>
      <c r="G197" s="6" t="s">
        <v>52</v>
      </c>
      <c r="H197" s="6" t="s">
        <v>113</v>
      </c>
      <c r="I197" s="8" t="s">
        <v>75</v>
      </c>
      <c r="J197" s="9">
        <v>1</v>
      </c>
      <c r="K197" s="9">
        <v>326</v>
      </c>
      <c r="L197" s="9">
        <v>2019</v>
      </c>
      <c r="M197" s="8" t="s">
        <v>1351</v>
      </c>
      <c r="N197" s="8" t="s">
        <v>40</v>
      </c>
      <c r="O197" s="8" t="s">
        <v>41</v>
      </c>
      <c r="P197" s="6" t="s">
        <v>161</v>
      </c>
      <c r="Q197" s="8" t="s">
        <v>43</v>
      </c>
      <c r="R197" s="10" t="s">
        <v>1344</v>
      </c>
      <c r="S197" s="11" t="s">
        <v>1352</v>
      </c>
      <c r="T197" s="6"/>
      <c r="U197" s="28" t="str">
        <f>HYPERLINK("https://media.infra-m.ru/1025/1025509/cover/1025509.jpg", "Обложка")</f>
        <v>Обложка</v>
      </c>
      <c r="V197" s="28" t="str">
        <f>HYPERLINK("https://znanium.com/catalog/product/2000875", "Ознакомиться")</f>
        <v>Ознакомиться</v>
      </c>
      <c r="W197" s="8" t="s">
        <v>1346</v>
      </c>
      <c r="X197" s="6"/>
      <c r="Y197" s="6"/>
      <c r="Z197" s="6"/>
      <c r="AA197" s="6" t="s">
        <v>120</v>
      </c>
    </row>
    <row r="198" spans="1:27" s="4" customFormat="1" ht="51.95" customHeight="1">
      <c r="A198" s="5">
        <v>0</v>
      </c>
      <c r="B198" s="6" t="s">
        <v>1353</v>
      </c>
      <c r="C198" s="13">
        <v>1994.9</v>
      </c>
      <c r="D198" s="8" t="s">
        <v>1354</v>
      </c>
      <c r="E198" s="8" t="s">
        <v>1355</v>
      </c>
      <c r="F198" s="8" t="s">
        <v>1356</v>
      </c>
      <c r="G198" s="6" t="s">
        <v>37</v>
      </c>
      <c r="H198" s="6" t="s">
        <v>53</v>
      </c>
      <c r="I198" s="8" t="s">
        <v>75</v>
      </c>
      <c r="J198" s="9">
        <v>1</v>
      </c>
      <c r="K198" s="9">
        <v>400</v>
      </c>
      <c r="L198" s="9">
        <v>2023</v>
      </c>
      <c r="M198" s="8" t="s">
        <v>1357</v>
      </c>
      <c r="N198" s="8" t="s">
        <v>40</v>
      </c>
      <c r="O198" s="8" t="s">
        <v>41</v>
      </c>
      <c r="P198" s="6" t="s">
        <v>42</v>
      </c>
      <c r="Q198" s="8" t="s">
        <v>43</v>
      </c>
      <c r="R198" s="10" t="s">
        <v>1358</v>
      </c>
      <c r="S198" s="11"/>
      <c r="T198" s="6"/>
      <c r="U198" s="28" t="str">
        <f>HYPERLINK("https://media.infra-m.ru/1911/1911807/cover/1911807.jpg", "Обложка")</f>
        <v>Обложка</v>
      </c>
      <c r="V198" s="28" t="str">
        <f>HYPERLINK("https://znanium.com/catalog/product/1010028", "Ознакомиться")</f>
        <v>Ознакомиться</v>
      </c>
      <c r="W198" s="8" t="s">
        <v>220</v>
      </c>
      <c r="X198" s="6"/>
      <c r="Y198" s="6"/>
      <c r="Z198" s="6"/>
      <c r="AA198" s="6" t="s">
        <v>78</v>
      </c>
    </row>
    <row r="199" spans="1:27" s="4" customFormat="1" ht="51.95" customHeight="1">
      <c r="A199" s="5">
        <v>0</v>
      </c>
      <c r="B199" s="6" t="s">
        <v>1359</v>
      </c>
      <c r="C199" s="13">
        <v>1174.9000000000001</v>
      </c>
      <c r="D199" s="8" t="s">
        <v>1360</v>
      </c>
      <c r="E199" s="8" t="s">
        <v>1361</v>
      </c>
      <c r="F199" s="8" t="s">
        <v>1362</v>
      </c>
      <c r="G199" s="6" t="s">
        <v>74</v>
      </c>
      <c r="H199" s="6" t="s">
        <v>53</v>
      </c>
      <c r="I199" s="8" t="s">
        <v>64</v>
      </c>
      <c r="J199" s="9">
        <v>1</v>
      </c>
      <c r="K199" s="9">
        <v>200</v>
      </c>
      <c r="L199" s="9">
        <v>2023</v>
      </c>
      <c r="M199" s="8" t="s">
        <v>1363</v>
      </c>
      <c r="N199" s="8" t="s">
        <v>40</v>
      </c>
      <c r="O199" s="8" t="s">
        <v>41</v>
      </c>
      <c r="P199" s="6" t="s">
        <v>42</v>
      </c>
      <c r="Q199" s="8" t="s">
        <v>66</v>
      </c>
      <c r="R199" s="10" t="s">
        <v>266</v>
      </c>
      <c r="S199" s="11" t="s">
        <v>1364</v>
      </c>
      <c r="T199" s="6"/>
      <c r="U199" s="28" t="str">
        <f>HYPERLINK("https://media.infra-m.ru/1896/1896461/cover/1896461.jpg", "Обложка")</f>
        <v>Обложка</v>
      </c>
      <c r="V199" s="28" t="str">
        <f>HYPERLINK("https://znanium.com/catalog/product/1895650", "Ознакомиться")</f>
        <v>Ознакомиться</v>
      </c>
      <c r="W199" s="8" t="s">
        <v>522</v>
      </c>
      <c r="X199" s="6"/>
      <c r="Y199" s="6"/>
      <c r="Z199" s="6" t="s">
        <v>69</v>
      </c>
      <c r="AA199" s="6" t="s">
        <v>253</v>
      </c>
    </row>
    <row r="200" spans="1:27" s="4" customFormat="1" ht="51.95" customHeight="1">
      <c r="A200" s="5">
        <v>0</v>
      </c>
      <c r="B200" s="6" t="s">
        <v>1365</v>
      </c>
      <c r="C200" s="13">
        <v>1212</v>
      </c>
      <c r="D200" s="8" t="s">
        <v>1366</v>
      </c>
      <c r="E200" s="8" t="s">
        <v>1361</v>
      </c>
      <c r="F200" s="8" t="s">
        <v>1362</v>
      </c>
      <c r="G200" s="6" t="s">
        <v>74</v>
      </c>
      <c r="H200" s="6" t="s">
        <v>53</v>
      </c>
      <c r="I200" s="8" t="s">
        <v>75</v>
      </c>
      <c r="J200" s="9">
        <v>1</v>
      </c>
      <c r="K200" s="9">
        <v>200</v>
      </c>
      <c r="L200" s="9">
        <v>2023</v>
      </c>
      <c r="M200" s="8" t="s">
        <v>1367</v>
      </c>
      <c r="N200" s="8" t="s">
        <v>40</v>
      </c>
      <c r="O200" s="8" t="s">
        <v>41</v>
      </c>
      <c r="P200" s="6" t="s">
        <v>42</v>
      </c>
      <c r="Q200" s="8" t="s">
        <v>43</v>
      </c>
      <c r="R200" s="10" t="s">
        <v>1368</v>
      </c>
      <c r="S200" s="11" t="s">
        <v>1369</v>
      </c>
      <c r="T200" s="6"/>
      <c r="U200" s="28" t="str">
        <f>HYPERLINK("https://media.infra-m.ru/1926/1926392/cover/1926392.jpg", "Обложка")</f>
        <v>Обложка</v>
      </c>
      <c r="V200" s="28" t="str">
        <f>HYPERLINK("https://znanium.com/catalog/product/1926392", "Ознакомиться")</f>
        <v>Ознакомиться</v>
      </c>
      <c r="W200" s="8" t="s">
        <v>522</v>
      </c>
      <c r="X200" s="6"/>
      <c r="Y200" s="6"/>
      <c r="Z200" s="6"/>
      <c r="AA200" s="6" t="s">
        <v>165</v>
      </c>
    </row>
    <row r="201" spans="1:27" s="4" customFormat="1" ht="51.95" customHeight="1">
      <c r="A201" s="5">
        <v>0</v>
      </c>
      <c r="B201" s="6" t="s">
        <v>1370</v>
      </c>
      <c r="C201" s="13">
        <v>2382</v>
      </c>
      <c r="D201" s="8" t="s">
        <v>1371</v>
      </c>
      <c r="E201" s="8" t="s">
        <v>1355</v>
      </c>
      <c r="F201" s="8" t="s">
        <v>1372</v>
      </c>
      <c r="G201" s="6" t="s">
        <v>52</v>
      </c>
      <c r="H201" s="6" t="s">
        <v>53</v>
      </c>
      <c r="I201" s="8" t="s">
        <v>64</v>
      </c>
      <c r="J201" s="9">
        <v>1</v>
      </c>
      <c r="K201" s="9">
        <v>398</v>
      </c>
      <c r="L201" s="9">
        <v>2024</v>
      </c>
      <c r="M201" s="8" t="s">
        <v>1373</v>
      </c>
      <c r="N201" s="8" t="s">
        <v>40</v>
      </c>
      <c r="O201" s="8" t="s">
        <v>41</v>
      </c>
      <c r="P201" s="6" t="s">
        <v>42</v>
      </c>
      <c r="Q201" s="8" t="s">
        <v>66</v>
      </c>
      <c r="R201" s="10" t="s">
        <v>1374</v>
      </c>
      <c r="S201" s="11" t="s">
        <v>219</v>
      </c>
      <c r="T201" s="6"/>
      <c r="U201" s="28" t="str">
        <f>HYPERLINK("https://media.infra-m.ru/2078/2078382/cover/2078382.jpg", "Обложка")</f>
        <v>Обложка</v>
      </c>
      <c r="V201" s="28" t="str">
        <f>HYPERLINK("https://znanium.com/catalog/product/2078382", "Ознакомиться")</f>
        <v>Ознакомиться</v>
      </c>
      <c r="W201" s="8" t="s">
        <v>220</v>
      </c>
      <c r="X201" s="6"/>
      <c r="Y201" s="6"/>
      <c r="Z201" s="6" t="s">
        <v>69</v>
      </c>
      <c r="AA201" s="6" t="s">
        <v>120</v>
      </c>
    </row>
    <row r="202" spans="1:27" s="4" customFormat="1" ht="51.95" customHeight="1">
      <c r="A202" s="5">
        <v>0</v>
      </c>
      <c r="B202" s="6" t="s">
        <v>1375</v>
      </c>
      <c r="C202" s="13">
        <v>2574</v>
      </c>
      <c r="D202" s="8" t="s">
        <v>1376</v>
      </c>
      <c r="E202" s="8" t="s">
        <v>1377</v>
      </c>
      <c r="F202" s="8" t="s">
        <v>784</v>
      </c>
      <c r="G202" s="6" t="s">
        <v>52</v>
      </c>
      <c r="H202" s="6" t="s">
        <v>53</v>
      </c>
      <c r="I202" s="8" t="s">
        <v>64</v>
      </c>
      <c r="J202" s="9">
        <v>1</v>
      </c>
      <c r="K202" s="9">
        <v>560</v>
      </c>
      <c r="L202" s="9">
        <v>2024</v>
      </c>
      <c r="M202" s="8" t="s">
        <v>1378</v>
      </c>
      <c r="N202" s="8" t="s">
        <v>40</v>
      </c>
      <c r="O202" s="8" t="s">
        <v>41</v>
      </c>
      <c r="P202" s="6" t="s">
        <v>42</v>
      </c>
      <c r="Q202" s="8" t="s">
        <v>66</v>
      </c>
      <c r="R202" s="10" t="s">
        <v>95</v>
      </c>
      <c r="S202" s="11" t="s">
        <v>151</v>
      </c>
      <c r="T202" s="6"/>
      <c r="U202" s="28" t="str">
        <f>HYPERLINK("https://media.infra-m.ru/2100/2100947/cover/2100947.jpg", "Обложка")</f>
        <v>Обложка</v>
      </c>
      <c r="V202" s="28" t="str">
        <f>HYPERLINK("https://znanium.com/catalog/product/1189335", "Ознакомиться")</f>
        <v>Ознакомиться</v>
      </c>
      <c r="W202" s="8" t="s">
        <v>495</v>
      </c>
      <c r="X202" s="6"/>
      <c r="Y202" s="6"/>
      <c r="Z202" s="6"/>
      <c r="AA202" s="6" t="s">
        <v>190</v>
      </c>
    </row>
    <row r="203" spans="1:27" s="4" customFormat="1" ht="42" customHeight="1">
      <c r="A203" s="5">
        <v>0</v>
      </c>
      <c r="B203" s="6" t="s">
        <v>1379</v>
      </c>
      <c r="C203" s="13">
        <v>1390</v>
      </c>
      <c r="D203" s="8" t="s">
        <v>1380</v>
      </c>
      <c r="E203" s="8" t="s">
        <v>1381</v>
      </c>
      <c r="F203" s="8" t="s">
        <v>1382</v>
      </c>
      <c r="G203" s="6" t="s">
        <v>52</v>
      </c>
      <c r="H203" s="6" t="s">
        <v>158</v>
      </c>
      <c r="I203" s="8"/>
      <c r="J203" s="9">
        <v>1</v>
      </c>
      <c r="K203" s="9">
        <v>304</v>
      </c>
      <c r="L203" s="9">
        <v>2024</v>
      </c>
      <c r="M203" s="8" t="s">
        <v>1383</v>
      </c>
      <c r="N203" s="8" t="s">
        <v>40</v>
      </c>
      <c r="O203" s="8" t="s">
        <v>41</v>
      </c>
      <c r="P203" s="6" t="s">
        <v>161</v>
      </c>
      <c r="Q203" s="8" t="s">
        <v>66</v>
      </c>
      <c r="R203" s="10" t="s">
        <v>1384</v>
      </c>
      <c r="S203" s="11"/>
      <c r="T203" s="6"/>
      <c r="U203" s="28" t="str">
        <f>HYPERLINK("https://media.infra-m.ru/2057/2057672/cover/2057672.jpg", "Обложка")</f>
        <v>Обложка</v>
      </c>
      <c r="V203" s="28" t="str">
        <f>HYPERLINK("https://znanium.com/catalog/product/2057672", "Ознакомиться")</f>
        <v>Ознакомиться</v>
      </c>
      <c r="W203" s="8" t="s">
        <v>1385</v>
      </c>
      <c r="X203" s="6"/>
      <c r="Y203" s="6"/>
      <c r="Z203" s="6"/>
      <c r="AA203" s="6" t="s">
        <v>120</v>
      </c>
    </row>
    <row r="204" spans="1:27" s="4" customFormat="1" ht="51.95" customHeight="1">
      <c r="A204" s="5">
        <v>0</v>
      </c>
      <c r="B204" s="6" t="s">
        <v>1386</v>
      </c>
      <c r="C204" s="7">
        <v>734</v>
      </c>
      <c r="D204" s="8" t="s">
        <v>1387</v>
      </c>
      <c r="E204" s="8" t="s">
        <v>1388</v>
      </c>
      <c r="F204" s="8" t="s">
        <v>1389</v>
      </c>
      <c r="G204" s="6" t="s">
        <v>37</v>
      </c>
      <c r="H204" s="6" t="s">
        <v>113</v>
      </c>
      <c r="I204" s="8" t="s">
        <v>64</v>
      </c>
      <c r="J204" s="9">
        <v>1</v>
      </c>
      <c r="K204" s="9">
        <v>160</v>
      </c>
      <c r="L204" s="9">
        <v>2023</v>
      </c>
      <c r="M204" s="8" t="s">
        <v>1390</v>
      </c>
      <c r="N204" s="8" t="s">
        <v>40</v>
      </c>
      <c r="O204" s="8" t="s">
        <v>41</v>
      </c>
      <c r="P204" s="6" t="s">
        <v>42</v>
      </c>
      <c r="Q204" s="8" t="s">
        <v>66</v>
      </c>
      <c r="R204" s="10" t="s">
        <v>1391</v>
      </c>
      <c r="S204" s="11" t="s">
        <v>440</v>
      </c>
      <c r="T204" s="6" t="s">
        <v>117</v>
      </c>
      <c r="U204" s="28" t="str">
        <f>HYPERLINK("https://media.infra-m.ru/2021/2021434/cover/2021434.jpg", "Обложка")</f>
        <v>Обложка</v>
      </c>
      <c r="V204" s="28" t="str">
        <f>HYPERLINK("https://znanium.com/catalog/product/1189336", "Ознакомиться")</f>
        <v>Ознакомиться</v>
      </c>
      <c r="W204" s="8" t="s">
        <v>189</v>
      </c>
      <c r="X204" s="6"/>
      <c r="Y204" s="6"/>
      <c r="Z204" s="6" t="s">
        <v>69</v>
      </c>
      <c r="AA204" s="6" t="s">
        <v>120</v>
      </c>
    </row>
    <row r="205" spans="1:27" s="4" customFormat="1" ht="51.95" customHeight="1">
      <c r="A205" s="5">
        <v>0</v>
      </c>
      <c r="B205" s="6" t="s">
        <v>1392</v>
      </c>
      <c r="C205" s="7">
        <v>750</v>
      </c>
      <c r="D205" s="8" t="s">
        <v>1393</v>
      </c>
      <c r="E205" s="8" t="s">
        <v>1388</v>
      </c>
      <c r="F205" s="8" t="s">
        <v>1389</v>
      </c>
      <c r="G205" s="6" t="s">
        <v>74</v>
      </c>
      <c r="H205" s="6" t="s">
        <v>113</v>
      </c>
      <c r="I205" s="8" t="s">
        <v>75</v>
      </c>
      <c r="J205" s="9">
        <v>1</v>
      </c>
      <c r="K205" s="9">
        <v>160</v>
      </c>
      <c r="L205" s="9">
        <v>2023</v>
      </c>
      <c r="M205" s="8" t="s">
        <v>1394</v>
      </c>
      <c r="N205" s="8" t="s">
        <v>40</v>
      </c>
      <c r="O205" s="8" t="s">
        <v>41</v>
      </c>
      <c r="P205" s="6" t="s">
        <v>42</v>
      </c>
      <c r="Q205" s="8" t="s">
        <v>43</v>
      </c>
      <c r="R205" s="10" t="s">
        <v>1395</v>
      </c>
      <c r="S205" s="11" t="s">
        <v>1396</v>
      </c>
      <c r="T205" s="6" t="s">
        <v>117</v>
      </c>
      <c r="U205" s="28" t="str">
        <f>HYPERLINK("https://media.infra-m.ru/2000/2000878/cover/2000878.jpg", "Обложка")</f>
        <v>Обложка</v>
      </c>
      <c r="V205" s="28" t="str">
        <f>HYPERLINK("https://znanium.com/catalog/product/2000878", "Ознакомиться")</f>
        <v>Ознакомиться</v>
      </c>
      <c r="W205" s="8" t="s">
        <v>189</v>
      </c>
      <c r="X205" s="6"/>
      <c r="Y205" s="6"/>
      <c r="Z205" s="6"/>
      <c r="AA205" s="6" t="s">
        <v>165</v>
      </c>
    </row>
    <row r="206" spans="1:27" s="4" customFormat="1" ht="51.95" customHeight="1">
      <c r="A206" s="5">
        <v>0</v>
      </c>
      <c r="B206" s="6" t="s">
        <v>1397</v>
      </c>
      <c r="C206" s="13">
        <v>1154.9000000000001</v>
      </c>
      <c r="D206" s="8" t="s">
        <v>1398</v>
      </c>
      <c r="E206" s="8" t="s">
        <v>1399</v>
      </c>
      <c r="F206" s="8" t="s">
        <v>1400</v>
      </c>
      <c r="G206" s="6" t="s">
        <v>52</v>
      </c>
      <c r="H206" s="6" t="s">
        <v>113</v>
      </c>
      <c r="I206" s="8" t="s">
        <v>248</v>
      </c>
      <c r="J206" s="9">
        <v>1</v>
      </c>
      <c r="K206" s="9">
        <v>256</v>
      </c>
      <c r="L206" s="9">
        <v>2023</v>
      </c>
      <c r="M206" s="8" t="s">
        <v>1401</v>
      </c>
      <c r="N206" s="8" t="s">
        <v>40</v>
      </c>
      <c r="O206" s="8" t="s">
        <v>41</v>
      </c>
      <c r="P206" s="6" t="s">
        <v>42</v>
      </c>
      <c r="Q206" s="8" t="s">
        <v>250</v>
      </c>
      <c r="R206" s="10" t="s">
        <v>251</v>
      </c>
      <c r="S206" s="11" t="s">
        <v>1402</v>
      </c>
      <c r="T206" s="6"/>
      <c r="U206" s="28" t="str">
        <f>HYPERLINK("https://media.infra-m.ru/1903/1903350/cover/1903350.jpg", "Обложка")</f>
        <v>Обложка</v>
      </c>
      <c r="V206" s="28" t="str">
        <f>HYPERLINK("https://znanium.com/catalog/product/1861659", "Ознакомиться")</f>
        <v>Ознакомиться</v>
      </c>
      <c r="W206" s="8" t="s">
        <v>1403</v>
      </c>
      <c r="X206" s="6"/>
      <c r="Y206" s="6"/>
      <c r="Z206" s="6" t="s">
        <v>756</v>
      </c>
      <c r="AA206" s="6" t="s">
        <v>245</v>
      </c>
    </row>
    <row r="207" spans="1:27" s="4" customFormat="1" ht="51.95" customHeight="1">
      <c r="A207" s="5">
        <v>0</v>
      </c>
      <c r="B207" s="6" t="s">
        <v>1404</v>
      </c>
      <c r="C207" s="13">
        <v>1174</v>
      </c>
      <c r="D207" s="8" t="s">
        <v>1405</v>
      </c>
      <c r="E207" s="8" t="s">
        <v>1406</v>
      </c>
      <c r="F207" s="8" t="s">
        <v>1400</v>
      </c>
      <c r="G207" s="6" t="s">
        <v>37</v>
      </c>
      <c r="H207" s="6" t="s">
        <v>53</v>
      </c>
      <c r="I207" s="8" t="s">
        <v>75</v>
      </c>
      <c r="J207" s="9">
        <v>1</v>
      </c>
      <c r="K207" s="9">
        <v>256</v>
      </c>
      <c r="L207" s="9">
        <v>2024</v>
      </c>
      <c r="M207" s="8" t="s">
        <v>1407</v>
      </c>
      <c r="N207" s="8" t="s">
        <v>40</v>
      </c>
      <c r="O207" s="8" t="s">
        <v>41</v>
      </c>
      <c r="P207" s="6" t="s">
        <v>42</v>
      </c>
      <c r="Q207" s="8" t="s">
        <v>43</v>
      </c>
      <c r="R207" s="10" t="s">
        <v>528</v>
      </c>
      <c r="S207" s="11" t="s">
        <v>1408</v>
      </c>
      <c r="T207" s="6"/>
      <c r="U207" s="28" t="str">
        <f>HYPERLINK("https://media.infra-m.ru/2087/2087256/cover/2087256.jpg", "Обложка")</f>
        <v>Обложка</v>
      </c>
      <c r="V207" s="12"/>
      <c r="W207" s="8" t="s">
        <v>1403</v>
      </c>
      <c r="X207" s="6"/>
      <c r="Y207" s="6"/>
      <c r="Z207" s="6"/>
      <c r="AA207" s="6" t="s">
        <v>804</v>
      </c>
    </row>
    <row r="208" spans="1:27" s="4" customFormat="1" ht="42" customHeight="1">
      <c r="A208" s="5">
        <v>0</v>
      </c>
      <c r="B208" s="6" t="s">
        <v>1409</v>
      </c>
      <c r="C208" s="13">
        <v>1440</v>
      </c>
      <c r="D208" s="8" t="s">
        <v>1410</v>
      </c>
      <c r="E208" s="8" t="s">
        <v>1411</v>
      </c>
      <c r="F208" s="8" t="s">
        <v>1412</v>
      </c>
      <c r="G208" s="6" t="s">
        <v>52</v>
      </c>
      <c r="H208" s="6" t="s">
        <v>158</v>
      </c>
      <c r="I208" s="8"/>
      <c r="J208" s="9">
        <v>1</v>
      </c>
      <c r="K208" s="9">
        <v>320</v>
      </c>
      <c r="L208" s="9">
        <v>2023</v>
      </c>
      <c r="M208" s="8" t="s">
        <v>1413</v>
      </c>
      <c r="N208" s="8" t="s">
        <v>40</v>
      </c>
      <c r="O208" s="8" t="s">
        <v>41</v>
      </c>
      <c r="P208" s="6" t="s">
        <v>161</v>
      </c>
      <c r="Q208" s="8" t="s">
        <v>66</v>
      </c>
      <c r="R208" s="10" t="s">
        <v>1414</v>
      </c>
      <c r="S208" s="11"/>
      <c r="T208" s="6"/>
      <c r="U208" s="28" t="str">
        <f>HYPERLINK("https://media.infra-m.ru/1095/1095176/cover/1095176.jpg", "Обложка")</f>
        <v>Обложка</v>
      </c>
      <c r="V208" s="28" t="str">
        <f>HYPERLINK("https://znanium.com/catalog/product/1095176", "Ознакомиться")</f>
        <v>Ознакомиться</v>
      </c>
      <c r="W208" s="8" t="s">
        <v>107</v>
      </c>
      <c r="X208" s="6"/>
      <c r="Y208" s="6"/>
      <c r="Z208" s="6"/>
      <c r="AA208" s="6" t="s">
        <v>120</v>
      </c>
    </row>
    <row r="209" spans="1:27" s="4" customFormat="1" ht="42" customHeight="1">
      <c r="A209" s="5">
        <v>0</v>
      </c>
      <c r="B209" s="6" t="s">
        <v>1415</v>
      </c>
      <c r="C209" s="13">
        <v>1770</v>
      </c>
      <c r="D209" s="8" t="s">
        <v>1416</v>
      </c>
      <c r="E209" s="8" t="s">
        <v>1417</v>
      </c>
      <c r="F209" s="8" t="s">
        <v>1418</v>
      </c>
      <c r="G209" s="6" t="s">
        <v>52</v>
      </c>
      <c r="H209" s="6" t="s">
        <v>158</v>
      </c>
      <c r="I209" s="8" t="s">
        <v>64</v>
      </c>
      <c r="J209" s="9">
        <v>1</v>
      </c>
      <c r="K209" s="9">
        <v>384</v>
      </c>
      <c r="L209" s="9">
        <v>2024</v>
      </c>
      <c r="M209" s="8" t="s">
        <v>1419</v>
      </c>
      <c r="N209" s="8" t="s">
        <v>40</v>
      </c>
      <c r="O209" s="8" t="s">
        <v>41</v>
      </c>
      <c r="P209" s="6" t="s">
        <v>161</v>
      </c>
      <c r="Q209" s="8" t="s">
        <v>66</v>
      </c>
      <c r="R209" s="10" t="s">
        <v>1420</v>
      </c>
      <c r="S209" s="11"/>
      <c r="T209" s="6"/>
      <c r="U209" s="28" t="str">
        <f>HYPERLINK("https://media.infra-m.ru/2096/2096066/cover/2096066.jpg", "Обложка")</f>
        <v>Обложка</v>
      </c>
      <c r="V209" s="28" t="str">
        <f>HYPERLINK("https://znanium.com/catalog/product/2096066", "Ознакомиться")</f>
        <v>Ознакомиться</v>
      </c>
      <c r="W209" s="8" t="s">
        <v>164</v>
      </c>
      <c r="X209" s="6"/>
      <c r="Y209" s="6" t="s">
        <v>30</v>
      </c>
      <c r="Z209" s="6"/>
      <c r="AA209" s="6" t="s">
        <v>144</v>
      </c>
    </row>
    <row r="210" spans="1:27" s="4" customFormat="1" ht="51.95" customHeight="1">
      <c r="A210" s="5">
        <v>0</v>
      </c>
      <c r="B210" s="6" t="s">
        <v>1421</v>
      </c>
      <c r="C210" s="7">
        <v>934.9</v>
      </c>
      <c r="D210" s="8" t="s">
        <v>1422</v>
      </c>
      <c r="E210" s="8" t="s">
        <v>1423</v>
      </c>
      <c r="F210" s="8" t="s">
        <v>1400</v>
      </c>
      <c r="G210" s="6" t="s">
        <v>52</v>
      </c>
      <c r="H210" s="6" t="s">
        <v>53</v>
      </c>
      <c r="I210" s="8" t="s">
        <v>64</v>
      </c>
      <c r="J210" s="9">
        <v>1</v>
      </c>
      <c r="K210" s="9">
        <v>208</v>
      </c>
      <c r="L210" s="9">
        <v>2023</v>
      </c>
      <c r="M210" s="8" t="s">
        <v>1424</v>
      </c>
      <c r="N210" s="8" t="s">
        <v>40</v>
      </c>
      <c r="O210" s="8" t="s">
        <v>41</v>
      </c>
      <c r="P210" s="6" t="s">
        <v>42</v>
      </c>
      <c r="Q210" s="8" t="s">
        <v>66</v>
      </c>
      <c r="R210" s="10" t="s">
        <v>1425</v>
      </c>
      <c r="S210" s="11" t="s">
        <v>1426</v>
      </c>
      <c r="T210" s="6"/>
      <c r="U210" s="28" t="str">
        <f>HYPERLINK("https://media.infra-m.ru/1913/1913012/cover/1913012.jpg", "Обложка")</f>
        <v>Обложка</v>
      </c>
      <c r="V210" s="28" t="str">
        <f>HYPERLINK("https://znanium.com/catalog/product/1189337", "Ознакомиться")</f>
        <v>Ознакомиться</v>
      </c>
      <c r="W210" s="8" t="s">
        <v>1403</v>
      </c>
      <c r="X210" s="6"/>
      <c r="Y210" s="6"/>
      <c r="Z210" s="6"/>
      <c r="AA210" s="6" t="s">
        <v>78</v>
      </c>
    </row>
    <row r="211" spans="1:27" s="4" customFormat="1" ht="51.95" customHeight="1">
      <c r="A211" s="5">
        <v>0</v>
      </c>
      <c r="B211" s="6" t="s">
        <v>1427</v>
      </c>
      <c r="C211" s="13">
        <v>1484.9</v>
      </c>
      <c r="D211" s="8" t="s">
        <v>1428</v>
      </c>
      <c r="E211" s="8" t="s">
        <v>1429</v>
      </c>
      <c r="F211" s="8" t="s">
        <v>1430</v>
      </c>
      <c r="G211" s="6" t="s">
        <v>52</v>
      </c>
      <c r="H211" s="6" t="s">
        <v>113</v>
      </c>
      <c r="I211" s="8" t="s">
        <v>64</v>
      </c>
      <c r="J211" s="9">
        <v>1</v>
      </c>
      <c r="K211" s="9">
        <v>329</v>
      </c>
      <c r="L211" s="9">
        <v>2023</v>
      </c>
      <c r="M211" s="8" t="s">
        <v>1431</v>
      </c>
      <c r="N211" s="8" t="s">
        <v>40</v>
      </c>
      <c r="O211" s="8" t="s">
        <v>41</v>
      </c>
      <c r="P211" s="6" t="s">
        <v>161</v>
      </c>
      <c r="Q211" s="8" t="s">
        <v>66</v>
      </c>
      <c r="R211" s="10" t="s">
        <v>1432</v>
      </c>
      <c r="S211" s="11" t="s">
        <v>1433</v>
      </c>
      <c r="T211" s="6"/>
      <c r="U211" s="28" t="str">
        <f>HYPERLINK("https://media.infra-m.ru/2030/2030864/cover/2030864.jpg", "Обложка")</f>
        <v>Обложка</v>
      </c>
      <c r="V211" s="28" t="str">
        <f>HYPERLINK("https://znanium.com/catalog/product/1189338", "Ознакомиться")</f>
        <v>Ознакомиться</v>
      </c>
      <c r="W211" s="8" t="s">
        <v>304</v>
      </c>
      <c r="X211" s="6"/>
      <c r="Y211" s="6"/>
      <c r="Z211" s="6" t="s">
        <v>69</v>
      </c>
      <c r="AA211" s="6" t="s">
        <v>226</v>
      </c>
    </row>
    <row r="212" spans="1:27" s="4" customFormat="1" ht="51.95" customHeight="1">
      <c r="A212" s="5">
        <v>0</v>
      </c>
      <c r="B212" s="6" t="s">
        <v>1434</v>
      </c>
      <c r="C212" s="13">
        <v>1384.9</v>
      </c>
      <c r="D212" s="8" t="s">
        <v>1435</v>
      </c>
      <c r="E212" s="8" t="s">
        <v>1429</v>
      </c>
      <c r="F212" s="8" t="s">
        <v>1430</v>
      </c>
      <c r="G212" s="6" t="s">
        <v>37</v>
      </c>
      <c r="H212" s="6" t="s">
        <v>113</v>
      </c>
      <c r="I212" s="8" t="s">
        <v>75</v>
      </c>
      <c r="J212" s="9">
        <v>1</v>
      </c>
      <c r="K212" s="9">
        <v>329</v>
      </c>
      <c r="L212" s="9">
        <v>2022</v>
      </c>
      <c r="M212" s="8" t="s">
        <v>1436</v>
      </c>
      <c r="N212" s="8" t="s">
        <v>40</v>
      </c>
      <c r="O212" s="8" t="s">
        <v>41</v>
      </c>
      <c r="P212" s="6" t="s">
        <v>161</v>
      </c>
      <c r="Q212" s="8" t="s">
        <v>43</v>
      </c>
      <c r="R212" s="10" t="s">
        <v>607</v>
      </c>
      <c r="S212" s="11" t="s">
        <v>1437</v>
      </c>
      <c r="T212" s="6"/>
      <c r="U212" s="28" t="str">
        <f>HYPERLINK("https://media.infra-m.ru/1870/1870430/cover/1870430.jpg", "Обложка")</f>
        <v>Обложка</v>
      </c>
      <c r="V212" s="28" t="str">
        <f>HYPERLINK("https://znanium.com/catalog/product/1914211", "Ознакомиться")</f>
        <v>Ознакомиться</v>
      </c>
      <c r="W212" s="8" t="s">
        <v>304</v>
      </c>
      <c r="X212" s="6"/>
      <c r="Y212" s="6"/>
      <c r="Z212" s="6"/>
      <c r="AA212" s="6" t="s">
        <v>78</v>
      </c>
    </row>
    <row r="213" spans="1:27" s="4" customFormat="1" ht="51.95" customHeight="1">
      <c r="A213" s="5">
        <v>0</v>
      </c>
      <c r="B213" s="6" t="s">
        <v>1438</v>
      </c>
      <c r="C213" s="13">
        <v>1770</v>
      </c>
      <c r="D213" s="8" t="s">
        <v>1439</v>
      </c>
      <c r="E213" s="8" t="s">
        <v>1440</v>
      </c>
      <c r="F213" s="8" t="s">
        <v>1441</v>
      </c>
      <c r="G213" s="6" t="s">
        <v>52</v>
      </c>
      <c r="H213" s="6" t="s">
        <v>53</v>
      </c>
      <c r="I213" s="8" t="s">
        <v>64</v>
      </c>
      <c r="J213" s="9">
        <v>1</v>
      </c>
      <c r="K213" s="9">
        <v>392</v>
      </c>
      <c r="L213" s="9">
        <v>2023</v>
      </c>
      <c r="M213" s="8" t="s">
        <v>1442</v>
      </c>
      <c r="N213" s="8" t="s">
        <v>40</v>
      </c>
      <c r="O213" s="8" t="s">
        <v>41</v>
      </c>
      <c r="P213" s="6" t="s">
        <v>42</v>
      </c>
      <c r="Q213" s="8" t="s">
        <v>66</v>
      </c>
      <c r="R213" s="10" t="s">
        <v>1214</v>
      </c>
      <c r="S213" s="11" t="s">
        <v>1443</v>
      </c>
      <c r="T213" s="6"/>
      <c r="U213" s="28" t="str">
        <f>HYPERLINK("https://media.infra-m.ru/1902/1902735/cover/1902735.jpg", "Обложка")</f>
        <v>Обложка</v>
      </c>
      <c r="V213" s="28" t="str">
        <f>HYPERLINK("https://znanium.com/catalog/product/1902735", "Ознакомиться")</f>
        <v>Ознакомиться</v>
      </c>
      <c r="W213" s="8" t="s">
        <v>1444</v>
      </c>
      <c r="X213" s="6"/>
      <c r="Y213" s="6"/>
      <c r="Z213" s="6"/>
      <c r="AA213" s="6" t="s">
        <v>144</v>
      </c>
    </row>
    <row r="214" spans="1:27" s="4" customFormat="1" ht="51.95" customHeight="1">
      <c r="A214" s="5">
        <v>0</v>
      </c>
      <c r="B214" s="6" t="s">
        <v>1445</v>
      </c>
      <c r="C214" s="13">
        <v>2100</v>
      </c>
      <c r="D214" s="8" t="s">
        <v>1446</v>
      </c>
      <c r="E214" s="8" t="s">
        <v>1447</v>
      </c>
      <c r="F214" s="8" t="s">
        <v>426</v>
      </c>
      <c r="G214" s="6" t="s">
        <v>52</v>
      </c>
      <c r="H214" s="6" t="s">
        <v>113</v>
      </c>
      <c r="I214" s="8" t="s">
        <v>64</v>
      </c>
      <c r="J214" s="9">
        <v>1</v>
      </c>
      <c r="K214" s="9">
        <v>594</v>
      </c>
      <c r="L214" s="9">
        <v>2022</v>
      </c>
      <c r="M214" s="8" t="s">
        <v>1448</v>
      </c>
      <c r="N214" s="8" t="s">
        <v>40</v>
      </c>
      <c r="O214" s="8" t="s">
        <v>41</v>
      </c>
      <c r="P214" s="6" t="s">
        <v>42</v>
      </c>
      <c r="Q214" s="8" t="s">
        <v>66</v>
      </c>
      <c r="R214" s="10" t="s">
        <v>1449</v>
      </c>
      <c r="S214" s="11" t="s">
        <v>1450</v>
      </c>
      <c r="T214" s="6"/>
      <c r="U214" s="28" t="str">
        <f>HYPERLINK("https://media.infra-m.ru/1864/1864235/cover/1864235.jpg", "Обложка")</f>
        <v>Обложка</v>
      </c>
      <c r="V214" s="28" t="str">
        <f>HYPERLINK("https://znanium.com/catalog/product/1864235", "Ознакомиться")</f>
        <v>Ознакомиться</v>
      </c>
      <c r="W214" s="8" t="s">
        <v>430</v>
      </c>
      <c r="X214" s="6"/>
      <c r="Y214" s="6"/>
      <c r="Z214" s="6"/>
      <c r="AA214" s="6" t="s">
        <v>253</v>
      </c>
    </row>
    <row r="215" spans="1:27" s="4" customFormat="1" ht="51.95" customHeight="1">
      <c r="A215" s="5">
        <v>0</v>
      </c>
      <c r="B215" s="6" t="s">
        <v>1451</v>
      </c>
      <c r="C215" s="13">
        <v>2007</v>
      </c>
      <c r="D215" s="8" t="s">
        <v>1452</v>
      </c>
      <c r="E215" s="8" t="s">
        <v>1453</v>
      </c>
      <c r="F215" s="8" t="s">
        <v>426</v>
      </c>
      <c r="G215" s="6" t="s">
        <v>52</v>
      </c>
      <c r="H215" s="6" t="s">
        <v>113</v>
      </c>
      <c r="I215" s="8" t="s">
        <v>75</v>
      </c>
      <c r="J215" s="9">
        <v>1</v>
      </c>
      <c r="K215" s="9">
        <v>336</v>
      </c>
      <c r="L215" s="9">
        <v>2024</v>
      </c>
      <c r="M215" s="8" t="s">
        <v>1454</v>
      </c>
      <c r="N215" s="8" t="s">
        <v>40</v>
      </c>
      <c r="O215" s="8" t="s">
        <v>41</v>
      </c>
      <c r="P215" s="6" t="s">
        <v>42</v>
      </c>
      <c r="Q215" s="8" t="s">
        <v>43</v>
      </c>
      <c r="R215" s="10" t="s">
        <v>1455</v>
      </c>
      <c r="S215" s="11" t="s">
        <v>1456</v>
      </c>
      <c r="T215" s="6"/>
      <c r="U215" s="28" t="str">
        <f>HYPERLINK("https://media.infra-m.ru/2102/2102724/cover/2102724.jpg", "Обложка")</f>
        <v>Обложка</v>
      </c>
      <c r="V215" s="28" t="str">
        <f>HYPERLINK("https://znanium.com/catalog/product/1927325", "Ознакомиться")</f>
        <v>Ознакомиться</v>
      </c>
      <c r="W215" s="8" t="s">
        <v>430</v>
      </c>
      <c r="X215" s="6"/>
      <c r="Y215" s="6"/>
      <c r="Z215" s="6"/>
      <c r="AA215" s="6" t="s">
        <v>165</v>
      </c>
    </row>
    <row r="216" spans="1:27" s="4" customFormat="1" ht="51.95" customHeight="1">
      <c r="A216" s="5">
        <v>0</v>
      </c>
      <c r="B216" s="6" t="s">
        <v>1457</v>
      </c>
      <c r="C216" s="13">
        <v>1990</v>
      </c>
      <c r="D216" s="8" t="s">
        <v>1458</v>
      </c>
      <c r="E216" s="8" t="s">
        <v>1459</v>
      </c>
      <c r="F216" s="8" t="s">
        <v>426</v>
      </c>
      <c r="G216" s="6" t="s">
        <v>52</v>
      </c>
      <c r="H216" s="6" t="s">
        <v>113</v>
      </c>
      <c r="I216" s="8" t="s">
        <v>75</v>
      </c>
      <c r="J216" s="9">
        <v>1</v>
      </c>
      <c r="K216" s="9">
        <v>343</v>
      </c>
      <c r="L216" s="9">
        <v>2023</v>
      </c>
      <c r="M216" s="8" t="s">
        <v>1460</v>
      </c>
      <c r="N216" s="8" t="s">
        <v>40</v>
      </c>
      <c r="O216" s="8" t="s">
        <v>41</v>
      </c>
      <c r="P216" s="6" t="s">
        <v>42</v>
      </c>
      <c r="Q216" s="8" t="s">
        <v>43</v>
      </c>
      <c r="R216" s="10" t="s">
        <v>1461</v>
      </c>
      <c r="S216" s="11" t="s">
        <v>1462</v>
      </c>
      <c r="T216" s="6"/>
      <c r="U216" s="28" t="str">
        <f>HYPERLINK("https://media.infra-m.ru/1940/1940922/cover/1940922.jpg", "Обложка")</f>
        <v>Обложка</v>
      </c>
      <c r="V216" s="28" t="str">
        <f>HYPERLINK("https://znanium.com/catalog/product/1913856", "Ознакомиться")</f>
        <v>Ознакомиться</v>
      </c>
      <c r="W216" s="8" t="s">
        <v>430</v>
      </c>
      <c r="X216" s="6"/>
      <c r="Y216" s="6"/>
      <c r="Z216" s="6"/>
      <c r="AA216" s="6" t="s">
        <v>144</v>
      </c>
    </row>
    <row r="217" spans="1:27" s="4" customFormat="1" ht="51.95" customHeight="1">
      <c r="A217" s="5">
        <v>0</v>
      </c>
      <c r="B217" s="6" t="s">
        <v>1463</v>
      </c>
      <c r="C217" s="13">
        <v>1990</v>
      </c>
      <c r="D217" s="8" t="s">
        <v>1464</v>
      </c>
      <c r="E217" s="8" t="s">
        <v>1459</v>
      </c>
      <c r="F217" s="8" t="s">
        <v>426</v>
      </c>
      <c r="G217" s="6" t="s">
        <v>52</v>
      </c>
      <c r="H217" s="6" t="s">
        <v>113</v>
      </c>
      <c r="I217" s="8" t="s">
        <v>64</v>
      </c>
      <c r="J217" s="9">
        <v>1</v>
      </c>
      <c r="K217" s="9">
        <v>343</v>
      </c>
      <c r="L217" s="9">
        <v>2023</v>
      </c>
      <c r="M217" s="8" t="s">
        <v>1465</v>
      </c>
      <c r="N217" s="8" t="s">
        <v>40</v>
      </c>
      <c r="O217" s="8" t="s">
        <v>41</v>
      </c>
      <c r="P217" s="6" t="s">
        <v>42</v>
      </c>
      <c r="Q217" s="8" t="s">
        <v>66</v>
      </c>
      <c r="R217" s="10" t="s">
        <v>116</v>
      </c>
      <c r="S217" s="11" t="s">
        <v>440</v>
      </c>
      <c r="T217" s="6"/>
      <c r="U217" s="28" t="str">
        <f>HYPERLINK("https://media.infra-m.ru/1927/1927269/cover/1927269.jpg", "Обложка")</f>
        <v>Обложка</v>
      </c>
      <c r="V217" s="28" t="str">
        <f>HYPERLINK("https://znanium.com/catalog/product/1927269", "Ознакомиться")</f>
        <v>Ознакомиться</v>
      </c>
      <c r="W217" s="8" t="s">
        <v>430</v>
      </c>
      <c r="X217" s="6"/>
      <c r="Y217" s="6"/>
      <c r="Z217" s="6" t="s">
        <v>69</v>
      </c>
      <c r="AA217" s="6" t="s">
        <v>120</v>
      </c>
    </row>
    <row r="218" spans="1:27" s="4" customFormat="1" ht="51.95" customHeight="1">
      <c r="A218" s="5">
        <v>0</v>
      </c>
      <c r="B218" s="6" t="s">
        <v>1466</v>
      </c>
      <c r="C218" s="13">
        <v>1984</v>
      </c>
      <c r="D218" s="8" t="s">
        <v>1467</v>
      </c>
      <c r="E218" s="8" t="s">
        <v>1468</v>
      </c>
      <c r="F218" s="8" t="s">
        <v>1469</v>
      </c>
      <c r="G218" s="6" t="s">
        <v>37</v>
      </c>
      <c r="H218" s="6" t="s">
        <v>53</v>
      </c>
      <c r="I218" s="8" t="s">
        <v>84</v>
      </c>
      <c r="J218" s="9">
        <v>1</v>
      </c>
      <c r="K218" s="9">
        <v>431</v>
      </c>
      <c r="L218" s="9">
        <v>2023</v>
      </c>
      <c r="M218" s="8" t="s">
        <v>1470</v>
      </c>
      <c r="N218" s="8" t="s">
        <v>40</v>
      </c>
      <c r="O218" s="8" t="s">
        <v>41</v>
      </c>
      <c r="P218" s="6" t="s">
        <v>42</v>
      </c>
      <c r="Q218" s="8" t="s">
        <v>66</v>
      </c>
      <c r="R218" s="10" t="s">
        <v>95</v>
      </c>
      <c r="S218" s="11" t="s">
        <v>1471</v>
      </c>
      <c r="T218" s="6"/>
      <c r="U218" s="28" t="str">
        <f>HYPERLINK("https://media.infra-m.ru/2053/2053242/cover/2053242.jpg", "Обложка")</f>
        <v>Обложка</v>
      </c>
      <c r="V218" s="28" t="str">
        <f>HYPERLINK("https://znanium.com/catalog/product/1150328", "Ознакомиться")</f>
        <v>Ознакомиться</v>
      </c>
      <c r="W218" s="8" t="s">
        <v>189</v>
      </c>
      <c r="X218" s="6"/>
      <c r="Y218" s="6"/>
      <c r="Z218" s="6"/>
      <c r="AA218" s="6" t="s">
        <v>1472</v>
      </c>
    </row>
    <row r="219" spans="1:27" s="4" customFormat="1" ht="51.95" customHeight="1">
      <c r="A219" s="5">
        <v>0</v>
      </c>
      <c r="B219" s="6" t="s">
        <v>1473</v>
      </c>
      <c r="C219" s="13">
        <v>1540</v>
      </c>
      <c r="D219" s="8" t="s">
        <v>1474</v>
      </c>
      <c r="E219" s="8" t="s">
        <v>1475</v>
      </c>
      <c r="F219" s="8" t="s">
        <v>1476</v>
      </c>
      <c r="G219" s="6" t="s">
        <v>52</v>
      </c>
      <c r="H219" s="6" t="s">
        <v>149</v>
      </c>
      <c r="I219" s="8" t="s">
        <v>64</v>
      </c>
      <c r="J219" s="9">
        <v>1</v>
      </c>
      <c r="K219" s="9">
        <v>414</v>
      </c>
      <c r="L219" s="9">
        <v>2022</v>
      </c>
      <c r="M219" s="8" t="s">
        <v>1477</v>
      </c>
      <c r="N219" s="8" t="s">
        <v>40</v>
      </c>
      <c r="O219" s="8" t="s">
        <v>41</v>
      </c>
      <c r="P219" s="6" t="s">
        <v>42</v>
      </c>
      <c r="Q219" s="8" t="s">
        <v>66</v>
      </c>
      <c r="R219" s="10" t="s">
        <v>1478</v>
      </c>
      <c r="S219" s="11" t="s">
        <v>1479</v>
      </c>
      <c r="T219" s="6"/>
      <c r="U219" s="28" t="str">
        <f>HYPERLINK("https://media.infra-m.ru/1735/1735805/cover/1735805.jpg", "Обложка")</f>
        <v>Обложка</v>
      </c>
      <c r="V219" s="28" t="str">
        <f>HYPERLINK("https://znanium.com/catalog/product/1735805", "Ознакомиться")</f>
        <v>Ознакомиться</v>
      </c>
      <c r="W219" s="8" t="s">
        <v>204</v>
      </c>
      <c r="X219" s="6"/>
      <c r="Y219" s="6"/>
      <c r="Z219" s="6"/>
      <c r="AA219" s="6" t="s">
        <v>639</v>
      </c>
    </row>
    <row r="220" spans="1:27" s="4" customFormat="1" ht="51.95" customHeight="1">
      <c r="A220" s="5">
        <v>0</v>
      </c>
      <c r="B220" s="6" t="s">
        <v>1480</v>
      </c>
      <c r="C220" s="13">
        <v>1990</v>
      </c>
      <c r="D220" s="8" t="s">
        <v>1481</v>
      </c>
      <c r="E220" s="8" t="s">
        <v>1482</v>
      </c>
      <c r="F220" s="8" t="s">
        <v>426</v>
      </c>
      <c r="G220" s="6" t="s">
        <v>37</v>
      </c>
      <c r="H220" s="6" t="s">
        <v>113</v>
      </c>
      <c r="I220" s="8" t="s">
        <v>75</v>
      </c>
      <c r="J220" s="9">
        <v>1</v>
      </c>
      <c r="K220" s="9">
        <v>515</v>
      </c>
      <c r="L220" s="9">
        <v>2022</v>
      </c>
      <c r="M220" s="8" t="s">
        <v>1483</v>
      </c>
      <c r="N220" s="8" t="s">
        <v>40</v>
      </c>
      <c r="O220" s="8" t="s">
        <v>41</v>
      </c>
      <c r="P220" s="6" t="s">
        <v>42</v>
      </c>
      <c r="Q220" s="8" t="s">
        <v>43</v>
      </c>
      <c r="R220" s="10" t="s">
        <v>1484</v>
      </c>
      <c r="S220" s="11" t="s">
        <v>1485</v>
      </c>
      <c r="T220" s="6"/>
      <c r="U220" s="28" t="str">
        <f>HYPERLINK("https://media.infra-m.ru/1039/1039154/cover/1039154.jpg", "Обложка")</f>
        <v>Обложка</v>
      </c>
      <c r="V220" s="28" t="str">
        <f>HYPERLINK("https://znanium.com/catalog/product/1039154", "Ознакомиться")</f>
        <v>Ознакомиться</v>
      </c>
      <c r="W220" s="8" t="s">
        <v>430</v>
      </c>
      <c r="X220" s="6"/>
      <c r="Y220" s="6"/>
      <c r="Z220" s="6"/>
      <c r="AA220" s="6" t="s">
        <v>275</v>
      </c>
    </row>
    <row r="221" spans="1:27" s="4" customFormat="1" ht="42" customHeight="1">
      <c r="A221" s="5">
        <v>0</v>
      </c>
      <c r="B221" s="6" t="s">
        <v>1486</v>
      </c>
      <c r="C221" s="13">
        <v>1294</v>
      </c>
      <c r="D221" s="8" t="s">
        <v>1487</v>
      </c>
      <c r="E221" s="8" t="s">
        <v>1488</v>
      </c>
      <c r="F221" s="8" t="s">
        <v>1489</v>
      </c>
      <c r="G221" s="6" t="s">
        <v>52</v>
      </c>
      <c r="H221" s="6" t="s">
        <v>158</v>
      </c>
      <c r="I221" s="8"/>
      <c r="J221" s="9">
        <v>1</v>
      </c>
      <c r="K221" s="9">
        <v>288</v>
      </c>
      <c r="L221" s="9">
        <v>2023</v>
      </c>
      <c r="M221" s="8" t="s">
        <v>1490</v>
      </c>
      <c r="N221" s="8" t="s">
        <v>40</v>
      </c>
      <c r="O221" s="8" t="s">
        <v>41</v>
      </c>
      <c r="P221" s="6" t="s">
        <v>161</v>
      </c>
      <c r="Q221" s="8" t="s">
        <v>66</v>
      </c>
      <c r="R221" s="10" t="s">
        <v>1491</v>
      </c>
      <c r="S221" s="11"/>
      <c r="T221" s="6"/>
      <c r="U221" s="28" t="str">
        <f>HYPERLINK("https://media.infra-m.ru/2006/2006039/cover/2006039.jpg", "Обложка")</f>
        <v>Обложка</v>
      </c>
      <c r="V221" s="28" t="str">
        <f>HYPERLINK("https://znanium.com/catalog/product/1460280", "Ознакомиться")</f>
        <v>Ознакомиться</v>
      </c>
      <c r="W221" s="8" t="s">
        <v>197</v>
      </c>
      <c r="X221" s="6"/>
      <c r="Y221" s="6"/>
      <c r="Z221" s="6"/>
      <c r="AA221" s="6" t="s">
        <v>144</v>
      </c>
    </row>
    <row r="222" spans="1:27" s="4" customFormat="1" ht="51.95" customHeight="1">
      <c r="A222" s="5">
        <v>0</v>
      </c>
      <c r="B222" s="6" t="s">
        <v>1492</v>
      </c>
      <c r="C222" s="7">
        <v>800</v>
      </c>
      <c r="D222" s="8" t="s">
        <v>1493</v>
      </c>
      <c r="E222" s="8" t="s">
        <v>1494</v>
      </c>
      <c r="F222" s="8" t="s">
        <v>771</v>
      </c>
      <c r="G222" s="6" t="s">
        <v>37</v>
      </c>
      <c r="H222" s="6" t="s">
        <v>113</v>
      </c>
      <c r="I222" s="8" t="s">
        <v>248</v>
      </c>
      <c r="J222" s="9">
        <v>1</v>
      </c>
      <c r="K222" s="9">
        <v>216</v>
      </c>
      <c r="L222" s="9">
        <v>2021</v>
      </c>
      <c r="M222" s="8" t="s">
        <v>1495</v>
      </c>
      <c r="N222" s="8" t="s">
        <v>40</v>
      </c>
      <c r="O222" s="8" t="s">
        <v>41</v>
      </c>
      <c r="P222" s="6" t="s">
        <v>42</v>
      </c>
      <c r="Q222" s="8" t="s">
        <v>250</v>
      </c>
      <c r="R222" s="10" t="s">
        <v>251</v>
      </c>
      <c r="S222" s="11" t="s">
        <v>1496</v>
      </c>
      <c r="T222" s="6"/>
      <c r="U222" s="28" t="str">
        <f>HYPERLINK("https://media.infra-m.ru/1178/1178150/cover/1178150.jpg", "Обложка")</f>
        <v>Обложка</v>
      </c>
      <c r="V222" s="28" t="str">
        <f>HYPERLINK("https://znanium.com/catalog/product/1178150", "Ознакомиться")</f>
        <v>Ознакомиться</v>
      </c>
      <c r="W222" s="8" t="s">
        <v>495</v>
      </c>
      <c r="X222" s="6"/>
      <c r="Y222" s="6"/>
      <c r="Z222" s="6" t="s">
        <v>756</v>
      </c>
      <c r="AA222" s="6" t="s">
        <v>245</v>
      </c>
    </row>
    <row r="223" spans="1:27" s="4" customFormat="1" ht="51.95" customHeight="1">
      <c r="A223" s="5">
        <v>0</v>
      </c>
      <c r="B223" s="6" t="s">
        <v>1497</v>
      </c>
      <c r="C223" s="13">
        <v>1320</v>
      </c>
      <c r="D223" s="8" t="s">
        <v>1498</v>
      </c>
      <c r="E223" s="8" t="s">
        <v>1499</v>
      </c>
      <c r="F223" s="8" t="s">
        <v>1500</v>
      </c>
      <c r="G223" s="6" t="s">
        <v>52</v>
      </c>
      <c r="H223" s="6" t="s">
        <v>113</v>
      </c>
      <c r="I223" s="8" t="s">
        <v>64</v>
      </c>
      <c r="J223" s="9">
        <v>1</v>
      </c>
      <c r="K223" s="9">
        <v>346</v>
      </c>
      <c r="L223" s="9">
        <v>2022</v>
      </c>
      <c r="M223" s="8" t="s">
        <v>1501</v>
      </c>
      <c r="N223" s="8" t="s">
        <v>40</v>
      </c>
      <c r="O223" s="8" t="s">
        <v>41</v>
      </c>
      <c r="P223" s="6" t="s">
        <v>42</v>
      </c>
      <c r="Q223" s="8" t="s">
        <v>66</v>
      </c>
      <c r="R223" s="10"/>
      <c r="S223" s="11" t="s">
        <v>1502</v>
      </c>
      <c r="T223" s="6"/>
      <c r="U223" s="28" t="str">
        <f>HYPERLINK("https://media.infra-m.ru/1056/1056856/cover/1056856.jpg", "Обложка")</f>
        <v>Обложка</v>
      </c>
      <c r="V223" s="28" t="str">
        <f>HYPERLINK("https://znanium.com/catalog/product/1056856", "Ознакомиться")</f>
        <v>Ознакомиться</v>
      </c>
      <c r="W223" s="8" t="s">
        <v>204</v>
      </c>
      <c r="X223" s="6"/>
      <c r="Y223" s="6"/>
      <c r="Z223" s="6"/>
      <c r="AA223" s="6" t="s">
        <v>356</v>
      </c>
    </row>
    <row r="224" spans="1:27" s="4" customFormat="1" ht="51.95" customHeight="1">
      <c r="A224" s="5">
        <v>0</v>
      </c>
      <c r="B224" s="6" t="s">
        <v>1503</v>
      </c>
      <c r="C224" s="7">
        <v>844</v>
      </c>
      <c r="D224" s="8" t="s">
        <v>1504</v>
      </c>
      <c r="E224" s="8" t="s">
        <v>1505</v>
      </c>
      <c r="F224" s="8" t="s">
        <v>1506</v>
      </c>
      <c r="G224" s="6" t="s">
        <v>37</v>
      </c>
      <c r="H224" s="6" t="s">
        <v>83</v>
      </c>
      <c r="I224" s="8" t="s">
        <v>75</v>
      </c>
      <c r="J224" s="9">
        <v>1</v>
      </c>
      <c r="K224" s="9">
        <v>183</v>
      </c>
      <c r="L224" s="9">
        <v>2024</v>
      </c>
      <c r="M224" s="8" t="s">
        <v>1507</v>
      </c>
      <c r="N224" s="8" t="s">
        <v>40</v>
      </c>
      <c r="O224" s="8" t="s">
        <v>41</v>
      </c>
      <c r="P224" s="6" t="s">
        <v>42</v>
      </c>
      <c r="Q224" s="8" t="s">
        <v>43</v>
      </c>
      <c r="R224" s="10" t="s">
        <v>1508</v>
      </c>
      <c r="S224" s="11" t="s">
        <v>1509</v>
      </c>
      <c r="T224" s="6"/>
      <c r="U224" s="28" t="str">
        <f>HYPERLINK("https://media.infra-m.ru/1927/1927326/cover/1927326.jpg", "Обложка")</f>
        <v>Обложка</v>
      </c>
      <c r="V224" s="28" t="str">
        <f>HYPERLINK("https://znanium.com/catalog/product/959916", "Ознакомиться")</f>
        <v>Ознакомиться</v>
      </c>
      <c r="W224" s="8" t="s">
        <v>143</v>
      </c>
      <c r="X224" s="6"/>
      <c r="Y224" s="6"/>
      <c r="Z224" s="6"/>
      <c r="AA224" s="6" t="s">
        <v>108</v>
      </c>
    </row>
    <row r="225" spans="1:27" s="4" customFormat="1" ht="51.95" customHeight="1">
      <c r="A225" s="5">
        <v>0</v>
      </c>
      <c r="B225" s="6" t="s">
        <v>1510</v>
      </c>
      <c r="C225" s="13">
        <v>1294.9000000000001</v>
      </c>
      <c r="D225" s="8" t="s">
        <v>1511</v>
      </c>
      <c r="E225" s="8" t="s">
        <v>1512</v>
      </c>
      <c r="F225" s="8" t="s">
        <v>1513</v>
      </c>
      <c r="G225" s="6" t="s">
        <v>37</v>
      </c>
      <c r="H225" s="6" t="s">
        <v>53</v>
      </c>
      <c r="I225" s="8" t="s">
        <v>84</v>
      </c>
      <c r="J225" s="9">
        <v>1</v>
      </c>
      <c r="K225" s="9">
        <v>288</v>
      </c>
      <c r="L225" s="9">
        <v>2023</v>
      </c>
      <c r="M225" s="8" t="s">
        <v>1514</v>
      </c>
      <c r="N225" s="8" t="s">
        <v>40</v>
      </c>
      <c r="O225" s="8" t="s">
        <v>41</v>
      </c>
      <c r="P225" s="6" t="s">
        <v>42</v>
      </c>
      <c r="Q225" s="8" t="s">
        <v>66</v>
      </c>
      <c r="R225" s="10" t="s">
        <v>1515</v>
      </c>
      <c r="S225" s="11" t="s">
        <v>1516</v>
      </c>
      <c r="T225" s="6"/>
      <c r="U225" s="28" t="str">
        <f>HYPERLINK("https://media.infra-m.ru/2039/2039131/cover/2039131.jpg", "Обложка")</f>
        <v>Обложка</v>
      </c>
      <c r="V225" s="12"/>
      <c r="W225" s="8" t="s">
        <v>1168</v>
      </c>
      <c r="X225" s="6"/>
      <c r="Y225" s="6"/>
      <c r="Z225" s="6"/>
      <c r="AA225" s="6" t="s">
        <v>1517</v>
      </c>
    </row>
    <row r="226" spans="1:27" s="4" customFormat="1" ht="51.95" customHeight="1">
      <c r="A226" s="5">
        <v>0</v>
      </c>
      <c r="B226" s="6" t="s">
        <v>1518</v>
      </c>
      <c r="C226" s="13">
        <v>1080</v>
      </c>
      <c r="D226" s="8" t="s">
        <v>1519</v>
      </c>
      <c r="E226" s="8" t="s">
        <v>1520</v>
      </c>
      <c r="F226" s="8" t="s">
        <v>771</v>
      </c>
      <c r="G226" s="6" t="s">
        <v>52</v>
      </c>
      <c r="H226" s="6" t="s">
        <v>113</v>
      </c>
      <c r="I226" s="8" t="s">
        <v>64</v>
      </c>
      <c r="J226" s="9">
        <v>1</v>
      </c>
      <c r="K226" s="9">
        <v>216</v>
      </c>
      <c r="L226" s="9">
        <v>2023</v>
      </c>
      <c r="M226" s="8" t="s">
        <v>1521</v>
      </c>
      <c r="N226" s="8" t="s">
        <v>40</v>
      </c>
      <c r="O226" s="8" t="s">
        <v>41</v>
      </c>
      <c r="P226" s="6" t="s">
        <v>42</v>
      </c>
      <c r="Q226" s="8" t="s">
        <v>66</v>
      </c>
      <c r="R226" s="10" t="s">
        <v>1522</v>
      </c>
      <c r="S226" s="11" t="s">
        <v>1523</v>
      </c>
      <c r="T226" s="6"/>
      <c r="U226" s="28" t="str">
        <f>HYPERLINK("https://media.infra-m.ru/1900/1900721/cover/1900721.jpg", "Обложка")</f>
        <v>Обложка</v>
      </c>
      <c r="V226" s="28" t="str">
        <f>HYPERLINK("https://znanium.com/catalog/product/1900721", "Ознакомиться")</f>
        <v>Ознакомиться</v>
      </c>
      <c r="W226" s="8" t="s">
        <v>495</v>
      </c>
      <c r="X226" s="6"/>
      <c r="Y226" s="6"/>
      <c r="Z226" s="6" t="s">
        <v>69</v>
      </c>
      <c r="AA226" s="6" t="s">
        <v>96</v>
      </c>
    </row>
    <row r="227" spans="1:27" s="4" customFormat="1" ht="51.95" customHeight="1">
      <c r="A227" s="5">
        <v>0</v>
      </c>
      <c r="B227" s="6" t="s">
        <v>1524</v>
      </c>
      <c r="C227" s="7">
        <v>994</v>
      </c>
      <c r="D227" s="8" t="s">
        <v>1525</v>
      </c>
      <c r="E227" s="8" t="s">
        <v>1494</v>
      </c>
      <c r="F227" s="8" t="s">
        <v>771</v>
      </c>
      <c r="G227" s="6" t="s">
        <v>37</v>
      </c>
      <c r="H227" s="6" t="s">
        <v>113</v>
      </c>
      <c r="I227" s="8" t="s">
        <v>75</v>
      </c>
      <c r="J227" s="9">
        <v>1</v>
      </c>
      <c r="K227" s="9">
        <v>216</v>
      </c>
      <c r="L227" s="9">
        <v>2024</v>
      </c>
      <c r="M227" s="8" t="s">
        <v>1526</v>
      </c>
      <c r="N227" s="8" t="s">
        <v>40</v>
      </c>
      <c r="O227" s="8" t="s">
        <v>41</v>
      </c>
      <c r="P227" s="6" t="s">
        <v>42</v>
      </c>
      <c r="Q227" s="8" t="s">
        <v>43</v>
      </c>
      <c r="R227" s="10" t="s">
        <v>773</v>
      </c>
      <c r="S227" s="11" t="s">
        <v>774</v>
      </c>
      <c r="T227" s="6"/>
      <c r="U227" s="28" t="str">
        <f>HYPERLINK("https://media.infra-m.ru/2061/2061192/cover/2061192.jpg", "Обложка")</f>
        <v>Обложка</v>
      </c>
      <c r="V227" s="28" t="str">
        <f>HYPERLINK("https://znanium.com/catalog/product/1784437", "Ознакомиться")</f>
        <v>Ознакомиться</v>
      </c>
      <c r="W227" s="8" t="s">
        <v>495</v>
      </c>
      <c r="X227" s="6"/>
      <c r="Y227" s="6"/>
      <c r="Z227" s="6"/>
      <c r="AA227" s="6" t="s">
        <v>205</v>
      </c>
    </row>
    <row r="228" spans="1:27" s="4" customFormat="1" ht="51.95" customHeight="1">
      <c r="A228" s="5">
        <v>0</v>
      </c>
      <c r="B228" s="6" t="s">
        <v>1527</v>
      </c>
      <c r="C228" s="7">
        <v>790</v>
      </c>
      <c r="D228" s="8" t="s">
        <v>1528</v>
      </c>
      <c r="E228" s="8" t="s">
        <v>1529</v>
      </c>
      <c r="F228" s="8" t="s">
        <v>139</v>
      </c>
      <c r="G228" s="6" t="s">
        <v>52</v>
      </c>
      <c r="H228" s="6" t="s">
        <v>83</v>
      </c>
      <c r="I228" s="8" t="s">
        <v>84</v>
      </c>
      <c r="J228" s="9">
        <v>1</v>
      </c>
      <c r="K228" s="9">
        <v>202</v>
      </c>
      <c r="L228" s="9">
        <v>2022</v>
      </c>
      <c r="M228" s="8" t="s">
        <v>1530</v>
      </c>
      <c r="N228" s="8" t="s">
        <v>40</v>
      </c>
      <c r="O228" s="8" t="s">
        <v>41</v>
      </c>
      <c r="P228" s="6" t="s">
        <v>161</v>
      </c>
      <c r="Q228" s="8" t="s">
        <v>66</v>
      </c>
      <c r="R228" s="10" t="s">
        <v>1531</v>
      </c>
      <c r="S228" s="11"/>
      <c r="T228" s="6"/>
      <c r="U228" s="28" t="str">
        <f>HYPERLINK("https://media.infra-m.ru/1860/1860126/cover/1860126.jpg", "Обложка")</f>
        <v>Обложка</v>
      </c>
      <c r="V228" s="28" t="str">
        <f>HYPERLINK("https://znanium.com/catalog/product/1860126", "Ознакомиться")</f>
        <v>Ознакомиться</v>
      </c>
      <c r="W228" s="8" t="s">
        <v>143</v>
      </c>
      <c r="X228" s="6"/>
      <c r="Y228" s="6"/>
      <c r="Z228" s="6"/>
      <c r="AA228" s="6" t="s">
        <v>226</v>
      </c>
    </row>
    <row r="229" spans="1:27" s="4" customFormat="1" ht="51.95" customHeight="1">
      <c r="A229" s="5">
        <v>0</v>
      </c>
      <c r="B229" s="6" t="s">
        <v>1532</v>
      </c>
      <c r="C229" s="13">
        <v>1550</v>
      </c>
      <c r="D229" s="8" t="s">
        <v>1533</v>
      </c>
      <c r="E229" s="8" t="s">
        <v>1529</v>
      </c>
      <c r="F229" s="8" t="s">
        <v>526</v>
      </c>
      <c r="G229" s="6" t="s">
        <v>52</v>
      </c>
      <c r="H229" s="6" t="s">
        <v>113</v>
      </c>
      <c r="I229" s="8" t="s">
        <v>64</v>
      </c>
      <c r="J229" s="9">
        <v>1</v>
      </c>
      <c r="K229" s="9">
        <v>337</v>
      </c>
      <c r="L229" s="9">
        <v>2024</v>
      </c>
      <c r="M229" s="8" t="s">
        <v>1534</v>
      </c>
      <c r="N229" s="8" t="s">
        <v>40</v>
      </c>
      <c r="O229" s="8" t="s">
        <v>41</v>
      </c>
      <c r="P229" s="6" t="s">
        <v>42</v>
      </c>
      <c r="Q229" s="8" t="s">
        <v>66</v>
      </c>
      <c r="R229" s="10" t="s">
        <v>1535</v>
      </c>
      <c r="S229" s="11" t="s">
        <v>1536</v>
      </c>
      <c r="T229" s="6"/>
      <c r="U229" s="28" t="str">
        <f>HYPERLINK("https://media.infra-m.ru/2118/2118689/cover/2118689.jpg", "Обложка")</f>
        <v>Обложка</v>
      </c>
      <c r="V229" s="28" t="str">
        <f>HYPERLINK("https://znanium.com/catalog/product/2118689", "Ознакомиться")</f>
        <v>Ознакомиться</v>
      </c>
      <c r="W229" s="8" t="s">
        <v>88</v>
      </c>
      <c r="X229" s="6" t="s">
        <v>381</v>
      </c>
      <c r="Y229" s="6"/>
      <c r="Z229" s="6" t="s">
        <v>713</v>
      </c>
      <c r="AA229" s="6" t="s">
        <v>245</v>
      </c>
    </row>
    <row r="230" spans="1:27" s="4" customFormat="1" ht="51.95" customHeight="1">
      <c r="A230" s="5">
        <v>0</v>
      </c>
      <c r="B230" s="6" t="s">
        <v>1537</v>
      </c>
      <c r="C230" s="13">
        <v>1704.9</v>
      </c>
      <c r="D230" s="8" t="s">
        <v>1538</v>
      </c>
      <c r="E230" s="8" t="s">
        <v>1539</v>
      </c>
      <c r="F230" s="8" t="s">
        <v>1540</v>
      </c>
      <c r="G230" s="6" t="s">
        <v>37</v>
      </c>
      <c r="H230" s="6" t="s">
        <v>149</v>
      </c>
      <c r="I230" s="8" t="s">
        <v>54</v>
      </c>
      <c r="J230" s="9">
        <v>12</v>
      </c>
      <c r="K230" s="9">
        <v>448</v>
      </c>
      <c r="L230" s="9">
        <v>2022</v>
      </c>
      <c r="M230" s="8" t="s">
        <v>1541</v>
      </c>
      <c r="N230" s="8" t="s">
        <v>40</v>
      </c>
      <c r="O230" s="8" t="s">
        <v>41</v>
      </c>
      <c r="P230" s="6" t="s">
        <v>42</v>
      </c>
      <c r="Q230" s="8" t="s">
        <v>43</v>
      </c>
      <c r="R230" s="10" t="s">
        <v>162</v>
      </c>
      <c r="S230" s="11" t="s">
        <v>1542</v>
      </c>
      <c r="T230" s="6"/>
      <c r="U230" s="28" t="str">
        <f>HYPERLINK("https://media.infra-m.ru/1841/1841415/cover/1841415.jpg", "Обложка")</f>
        <v>Обложка</v>
      </c>
      <c r="V230" s="12"/>
      <c r="W230" s="8" t="s">
        <v>204</v>
      </c>
      <c r="X230" s="6"/>
      <c r="Y230" s="6"/>
      <c r="Z230" s="6"/>
      <c r="AA230" s="6" t="s">
        <v>363</v>
      </c>
    </row>
    <row r="231" spans="1:27" s="4" customFormat="1" ht="51.95" customHeight="1">
      <c r="A231" s="5">
        <v>0</v>
      </c>
      <c r="B231" s="6" t="s">
        <v>1543</v>
      </c>
      <c r="C231" s="7">
        <v>694.9</v>
      </c>
      <c r="D231" s="8" t="s">
        <v>1544</v>
      </c>
      <c r="E231" s="8" t="s">
        <v>1545</v>
      </c>
      <c r="F231" s="8" t="s">
        <v>1546</v>
      </c>
      <c r="G231" s="6" t="s">
        <v>37</v>
      </c>
      <c r="H231" s="6" t="s">
        <v>1547</v>
      </c>
      <c r="I231" s="8" t="s">
        <v>54</v>
      </c>
      <c r="J231" s="9">
        <v>20</v>
      </c>
      <c r="K231" s="9">
        <v>239</v>
      </c>
      <c r="L231" s="9">
        <v>2017</v>
      </c>
      <c r="M231" s="8" t="s">
        <v>1548</v>
      </c>
      <c r="N231" s="8" t="s">
        <v>40</v>
      </c>
      <c r="O231" s="8" t="s">
        <v>41</v>
      </c>
      <c r="P231" s="6" t="s">
        <v>42</v>
      </c>
      <c r="Q231" s="8" t="s">
        <v>43</v>
      </c>
      <c r="R231" s="10" t="s">
        <v>1549</v>
      </c>
      <c r="S231" s="11" t="s">
        <v>1550</v>
      </c>
      <c r="T231" s="6"/>
      <c r="U231" s="28" t="str">
        <f>HYPERLINK("https://media.infra-m.ru/0758/0758030/cover/758030.jpg", "Обложка")</f>
        <v>Обложка</v>
      </c>
      <c r="V231" s="28" t="str">
        <f>HYPERLINK("https://znanium.com/catalog/product/1280630", "Ознакомиться")</f>
        <v>Ознакомиться</v>
      </c>
      <c r="W231" s="8" t="s">
        <v>1551</v>
      </c>
      <c r="X231" s="6"/>
      <c r="Y231" s="6"/>
      <c r="Z231" s="6"/>
      <c r="AA231" s="6" t="s">
        <v>205</v>
      </c>
    </row>
    <row r="232" spans="1:27" s="4" customFormat="1" ht="51.95" customHeight="1">
      <c r="A232" s="5">
        <v>0</v>
      </c>
      <c r="B232" s="6" t="s">
        <v>1552</v>
      </c>
      <c r="C232" s="7">
        <v>900</v>
      </c>
      <c r="D232" s="8" t="s">
        <v>1553</v>
      </c>
      <c r="E232" s="8" t="s">
        <v>1554</v>
      </c>
      <c r="F232" s="8" t="s">
        <v>1555</v>
      </c>
      <c r="G232" s="6" t="s">
        <v>52</v>
      </c>
      <c r="H232" s="6" t="s">
        <v>113</v>
      </c>
      <c r="I232" s="8" t="s">
        <v>75</v>
      </c>
      <c r="J232" s="9">
        <v>1</v>
      </c>
      <c r="K232" s="9">
        <v>199</v>
      </c>
      <c r="L232" s="9">
        <v>2023</v>
      </c>
      <c r="M232" s="8" t="s">
        <v>1556</v>
      </c>
      <c r="N232" s="8" t="s">
        <v>40</v>
      </c>
      <c r="O232" s="8" t="s">
        <v>41</v>
      </c>
      <c r="P232" s="6" t="s">
        <v>42</v>
      </c>
      <c r="Q232" s="8" t="s">
        <v>43</v>
      </c>
      <c r="R232" s="10" t="s">
        <v>1557</v>
      </c>
      <c r="S232" s="11" t="s">
        <v>1558</v>
      </c>
      <c r="T232" s="6"/>
      <c r="U232" s="28" t="str">
        <f>HYPERLINK("https://media.infra-m.ru/1899/1899821/cover/1899821.jpg", "Обложка")</f>
        <v>Обложка</v>
      </c>
      <c r="V232" s="28" t="str">
        <f>HYPERLINK("https://znanium.com/catalog/product/937997", "Ознакомиться")</f>
        <v>Ознакомиться</v>
      </c>
      <c r="W232" s="8" t="s">
        <v>1168</v>
      </c>
      <c r="X232" s="6"/>
      <c r="Y232" s="6"/>
      <c r="Z232" s="6"/>
      <c r="AA232" s="6" t="s">
        <v>181</v>
      </c>
    </row>
    <row r="233" spans="1:27" s="4" customFormat="1" ht="51.95" customHeight="1">
      <c r="A233" s="5">
        <v>0</v>
      </c>
      <c r="B233" s="6" t="s">
        <v>1559</v>
      </c>
      <c r="C233" s="13">
        <v>1274.9000000000001</v>
      </c>
      <c r="D233" s="8" t="s">
        <v>1560</v>
      </c>
      <c r="E233" s="8" t="s">
        <v>1561</v>
      </c>
      <c r="F233" s="8" t="s">
        <v>1562</v>
      </c>
      <c r="G233" s="6" t="s">
        <v>37</v>
      </c>
      <c r="H233" s="6" t="s">
        <v>38</v>
      </c>
      <c r="I233" s="8"/>
      <c r="J233" s="9">
        <v>1</v>
      </c>
      <c r="K233" s="9">
        <v>336</v>
      </c>
      <c r="L233" s="9">
        <v>2022</v>
      </c>
      <c r="M233" s="8" t="s">
        <v>1563</v>
      </c>
      <c r="N233" s="8" t="s">
        <v>40</v>
      </c>
      <c r="O233" s="8" t="s">
        <v>41</v>
      </c>
      <c r="P233" s="6" t="s">
        <v>42</v>
      </c>
      <c r="Q233" s="8" t="s">
        <v>43</v>
      </c>
      <c r="R233" s="10" t="s">
        <v>1564</v>
      </c>
      <c r="S233" s="11" t="s">
        <v>1565</v>
      </c>
      <c r="T233" s="6"/>
      <c r="U233" s="28" t="str">
        <f>HYPERLINK("https://media.infra-m.ru/1840/1840487/cover/1840487.jpg", "Обложка")</f>
        <v>Обложка</v>
      </c>
      <c r="V233" s="28" t="str">
        <f>HYPERLINK("https://znanium.com/catalog/product/1840487", "Ознакомиться")</f>
        <v>Ознакомиться</v>
      </c>
      <c r="W233" s="8" t="s">
        <v>1566</v>
      </c>
      <c r="X233" s="6"/>
      <c r="Y233" s="6"/>
      <c r="Z233" s="6"/>
      <c r="AA233" s="6" t="s">
        <v>886</v>
      </c>
    </row>
    <row r="234" spans="1:27" s="4" customFormat="1" ht="51.95" customHeight="1">
      <c r="A234" s="5">
        <v>0</v>
      </c>
      <c r="B234" s="6" t="s">
        <v>1567</v>
      </c>
      <c r="C234" s="13">
        <v>1010</v>
      </c>
      <c r="D234" s="8" t="s">
        <v>1568</v>
      </c>
      <c r="E234" s="8" t="s">
        <v>1569</v>
      </c>
      <c r="F234" s="8" t="s">
        <v>1570</v>
      </c>
      <c r="G234" s="6" t="s">
        <v>52</v>
      </c>
      <c r="H234" s="6" t="s">
        <v>149</v>
      </c>
      <c r="I234" s="8" t="s">
        <v>64</v>
      </c>
      <c r="J234" s="9">
        <v>1</v>
      </c>
      <c r="K234" s="9">
        <v>224</v>
      </c>
      <c r="L234" s="9">
        <v>2023</v>
      </c>
      <c r="M234" s="8" t="s">
        <v>1571</v>
      </c>
      <c r="N234" s="8" t="s">
        <v>40</v>
      </c>
      <c r="O234" s="8" t="s">
        <v>41</v>
      </c>
      <c r="P234" s="6" t="s">
        <v>42</v>
      </c>
      <c r="Q234" s="8" t="s">
        <v>66</v>
      </c>
      <c r="R234" s="10" t="s">
        <v>1572</v>
      </c>
      <c r="S234" s="11" t="s">
        <v>1573</v>
      </c>
      <c r="T234" s="6"/>
      <c r="U234" s="28" t="str">
        <f>HYPERLINK("https://media.infra-m.ru/2010/2010597/cover/2010597.jpg", "Обложка")</f>
        <v>Обложка</v>
      </c>
      <c r="V234" s="28" t="str">
        <f>HYPERLINK("https://znanium.com/catalog/product/2010597", "Ознакомиться")</f>
        <v>Ознакомиться</v>
      </c>
      <c r="W234" s="8" t="s">
        <v>204</v>
      </c>
      <c r="X234" s="6"/>
      <c r="Y234" s="6"/>
      <c r="Z234" s="6" t="s">
        <v>69</v>
      </c>
      <c r="AA234" s="6" t="s">
        <v>253</v>
      </c>
    </row>
    <row r="235" spans="1:27" s="4" customFormat="1" ht="51.95" customHeight="1">
      <c r="A235" s="5">
        <v>0</v>
      </c>
      <c r="B235" s="6" t="s">
        <v>1574</v>
      </c>
      <c r="C235" s="7">
        <v>544</v>
      </c>
      <c r="D235" s="8" t="s">
        <v>1575</v>
      </c>
      <c r="E235" s="8" t="s">
        <v>1576</v>
      </c>
      <c r="F235" s="8" t="s">
        <v>1577</v>
      </c>
      <c r="G235" s="6" t="s">
        <v>74</v>
      </c>
      <c r="H235" s="6" t="s">
        <v>113</v>
      </c>
      <c r="I235" s="8" t="s">
        <v>64</v>
      </c>
      <c r="J235" s="9">
        <v>1</v>
      </c>
      <c r="K235" s="9">
        <v>118</v>
      </c>
      <c r="L235" s="9">
        <v>2024</v>
      </c>
      <c r="M235" s="8" t="s">
        <v>1578</v>
      </c>
      <c r="N235" s="8" t="s">
        <v>40</v>
      </c>
      <c r="O235" s="8" t="s">
        <v>41</v>
      </c>
      <c r="P235" s="6" t="s">
        <v>42</v>
      </c>
      <c r="Q235" s="8" t="s">
        <v>66</v>
      </c>
      <c r="R235" s="10" t="s">
        <v>116</v>
      </c>
      <c r="S235" s="11" t="s">
        <v>440</v>
      </c>
      <c r="T235" s="6"/>
      <c r="U235" s="28" t="str">
        <f>HYPERLINK("https://media.infra-m.ru/2102/2102661/cover/2102661.jpg", "Обложка")</f>
        <v>Обложка</v>
      </c>
      <c r="V235" s="28" t="str">
        <f>HYPERLINK("https://znanium.com/catalog/product/1019936", "Ознакомиться")</f>
        <v>Ознакомиться</v>
      </c>
      <c r="W235" s="8" t="s">
        <v>1061</v>
      </c>
      <c r="X235" s="6"/>
      <c r="Y235" s="6"/>
      <c r="Z235" s="6" t="s">
        <v>69</v>
      </c>
      <c r="AA235" s="6" t="s">
        <v>120</v>
      </c>
    </row>
    <row r="236" spans="1:27" s="4" customFormat="1" ht="51.95" customHeight="1">
      <c r="A236" s="5">
        <v>0</v>
      </c>
      <c r="B236" s="6" t="s">
        <v>1579</v>
      </c>
      <c r="C236" s="7">
        <v>544</v>
      </c>
      <c r="D236" s="8" t="s">
        <v>1580</v>
      </c>
      <c r="E236" s="8" t="s">
        <v>1576</v>
      </c>
      <c r="F236" s="8" t="s">
        <v>1577</v>
      </c>
      <c r="G236" s="6" t="s">
        <v>74</v>
      </c>
      <c r="H236" s="6" t="s">
        <v>113</v>
      </c>
      <c r="I236" s="8" t="s">
        <v>75</v>
      </c>
      <c r="J236" s="9">
        <v>1</v>
      </c>
      <c r="K236" s="9">
        <v>118</v>
      </c>
      <c r="L236" s="9">
        <v>2023</v>
      </c>
      <c r="M236" s="8" t="s">
        <v>1581</v>
      </c>
      <c r="N236" s="8" t="s">
        <v>40</v>
      </c>
      <c r="O236" s="8" t="s">
        <v>41</v>
      </c>
      <c r="P236" s="6" t="s">
        <v>42</v>
      </c>
      <c r="Q236" s="8" t="s">
        <v>43</v>
      </c>
      <c r="R236" s="10" t="s">
        <v>1582</v>
      </c>
      <c r="S236" s="11" t="s">
        <v>1583</v>
      </c>
      <c r="T236" s="6"/>
      <c r="U236" s="28" t="str">
        <f>HYPERLINK("https://media.infra-m.ru/1927/1927327/cover/1927327.jpg", "Обложка")</f>
        <v>Обложка</v>
      </c>
      <c r="V236" s="28" t="str">
        <f>HYPERLINK("https://znanium.com/catalog/product/1221179", "Ознакомиться")</f>
        <v>Ознакомиться</v>
      </c>
      <c r="W236" s="8" t="s">
        <v>1061</v>
      </c>
      <c r="X236" s="6"/>
      <c r="Y236" s="6"/>
      <c r="Z236" s="6"/>
      <c r="AA236" s="6" t="s">
        <v>144</v>
      </c>
    </row>
    <row r="237" spans="1:27" s="4" customFormat="1" ht="51.95" customHeight="1">
      <c r="A237" s="5">
        <v>0</v>
      </c>
      <c r="B237" s="6" t="s">
        <v>1584</v>
      </c>
      <c r="C237" s="7">
        <v>810</v>
      </c>
      <c r="D237" s="8" t="s">
        <v>1585</v>
      </c>
      <c r="E237" s="8" t="s">
        <v>1569</v>
      </c>
      <c r="F237" s="8" t="s">
        <v>1570</v>
      </c>
      <c r="G237" s="6" t="s">
        <v>52</v>
      </c>
      <c r="H237" s="6" t="s">
        <v>149</v>
      </c>
      <c r="I237" s="8" t="s">
        <v>75</v>
      </c>
      <c r="J237" s="9">
        <v>1</v>
      </c>
      <c r="K237" s="9">
        <v>224</v>
      </c>
      <c r="L237" s="9">
        <v>2021</v>
      </c>
      <c r="M237" s="8" t="s">
        <v>1586</v>
      </c>
      <c r="N237" s="8" t="s">
        <v>40</v>
      </c>
      <c r="O237" s="8" t="s">
        <v>41</v>
      </c>
      <c r="P237" s="6" t="s">
        <v>42</v>
      </c>
      <c r="Q237" s="8" t="s">
        <v>43</v>
      </c>
      <c r="R237" s="10" t="s">
        <v>1587</v>
      </c>
      <c r="S237" s="11" t="s">
        <v>1588</v>
      </c>
      <c r="T237" s="6"/>
      <c r="U237" s="28" t="str">
        <f>HYPERLINK("https://media.infra-m.ru/1225/1225391/cover/1225391.jpg", "Обложка")</f>
        <v>Обложка</v>
      </c>
      <c r="V237" s="28" t="str">
        <f>HYPERLINK("https://znanium.com/catalog/product/1907425", "Ознакомиться")</f>
        <v>Ознакомиться</v>
      </c>
      <c r="W237" s="8" t="s">
        <v>204</v>
      </c>
      <c r="X237" s="6"/>
      <c r="Y237" s="6"/>
      <c r="Z237" s="6"/>
      <c r="AA237" s="6" t="s">
        <v>363</v>
      </c>
    </row>
    <row r="238" spans="1:27" s="4" customFormat="1" ht="51.95" customHeight="1">
      <c r="A238" s="5">
        <v>0</v>
      </c>
      <c r="B238" s="6" t="s">
        <v>1589</v>
      </c>
      <c r="C238" s="13">
        <v>1254</v>
      </c>
      <c r="D238" s="8" t="s">
        <v>1590</v>
      </c>
      <c r="E238" s="8" t="s">
        <v>1591</v>
      </c>
      <c r="F238" s="8" t="s">
        <v>1592</v>
      </c>
      <c r="G238" s="6" t="s">
        <v>52</v>
      </c>
      <c r="H238" s="6" t="s">
        <v>113</v>
      </c>
      <c r="I238" s="8" t="s">
        <v>75</v>
      </c>
      <c r="J238" s="9">
        <v>1</v>
      </c>
      <c r="K238" s="9">
        <v>269</v>
      </c>
      <c r="L238" s="9">
        <v>2024</v>
      </c>
      <c r="M238" s="8" t="s">
        <v>1593</v>
      </c>
      <c r="N238" s="8" t="s">
        <v>40</v>
      </c>
      <c r="O238" s="8" t="s">
        <v>41</v>
      </c>
      <c r="P238" s="6" t="s">
        <v>42</v>
      </c>
      <c r="Q238" s="8" t="s">
        <v>43</v>
      </c>
      <c r="R238" s="10" t="s">
        <v>1587</v>
      </c>
      <c r="S238" s="11" t="s">
        <v>1594</v>
      </c>
      <c r="T238" s="6"/>
      <c r="U238" s="28" t="str">
        <f>HYPERLINK("https://media.infra-m.ru/2079/2079285/cover/2079285.jpg", "Обложка")</f>
        <v>Обложка</v>
      </c>
      <c r="V238" s="28" t="str">
        <f>HYPERLINK("https://znanium.com/catalog/product/1907425", "Ознакомиться")</f>
        <v>Ознакомиться</v>
      </c>
      <c r="W238" s="8" t="s">
        <v>204</v>
      </c>
      <c r="X238" s="6"/>
      <c r="Y238" s="6"/>
      <c r="Z238" s="6"/>
      <c r="AA238" s="6" t="s">
        <v>59</v>
      </c>
    </row>
    <row r="239" spans="1:27" s="4" customFormat="1" ht="51.95" customHeight="1">
      <c r="A239" s="5">
        <v>0</v>
      </c>
      <c r="B239" s="6" t="s">
        <v>1595</v>
      </c>
      <c r="C239" s="13">
        <v>1180</v>
      </c>
      <c r="D239" s="8" t="s">
        <v>1596</v>
      </c>
      <c r="E239" s="8" t="s">
        <v>1597</v>
      </c>
      <c r="F239" s="8" t="s">
        <v>651</v>
      </c>
      <c r="G239" s="6" t="s">
        <v>52</v>
      </c>
      <c r="H239" s="6" t="s">
        <v>113</v>
      </c>
      <c r="I239" s="8" t="s">
        <v>64</v>
      </c>
      <c r="J239" s="9">
        <v>1</v>
      </c>
      <c r="K239" s="9">
        <v>236</v>
      </c>
      <c r="L239" s="9">
        <v>2024</v>
      </c>
      <c r="M239" s="8" t="s">
        <v>1598</v>
      </c>
      <c r="N239" s="8" t="s">
        <v>40</v>
      </c>
      <c r="O239" s="8" t="s">
        <v>41</v>
      </c>
      <c r="P239" s="6" t="s">
        <v>42</v>
      </c>
      <c r="Q239" s="8" t="s">
        <v>66</v>
      </c>
      <c r="R239" s="10" t="s">
        <v>1599</v>
      </c>
      <c r="S239" s="11" t="s">
        <v>1600</v>
      </c>
      <c r="T239" s="6"/>
      <c r="U239" s="28" t="str">
        <f>HYPERLINK("https://media.infra-m.ru/2073/2073477/cover/2073477.jpg", "Обложка")</f>
        <v>Обложка</v>
      </c>
      <c r="V239" s="28" t="str">
        <f>HYPERLINK("https://znanium.com/catalog/product/2073477", "Ознакомиться")</f>
        <v>Ознакомиться</v>
      </c>
      <c r="W239" s="8"/>
      <c r="X239" s="6"/>
      <c r="Y239" s="6"/>
      <c r="Z239" s="6"/>
      <c r="AA239" s="6" t="s">
        <v>687</v>
      </c>
    </row>
    <row r="240" spans="1:27" s="4" customFormat="1" ht="51.95" customHeight="1">
      <c r="A240" s="5">
        <v>0</v>
      </c>
      <c r="B240" s="6" t="s">
        <v>1601</v>
      </c>
      <c r="C240" s="13">
        <v>1914</v>
      </c>
      <c r="D240" s="8" t="s">
        <v>1602</v>
      </c>
      <c r="E240" s="8" t="s">
        <v>1603</v>
      </c>
      <c r="F240" s="8" t="s">
        <v>1604</v>
      </c>
      <c r="G240" s="6" t="s">
        <v>52</v>
      </c>
      <c r="H240" s="6" t="s">
        <v>53</v>
      </c>
      <c r="I240" s="8" t="s">
        <v>64</v>
      </c>
      <c r="J240" s="9">
        <v>1</v>
      </c>
      <c r="K240" s="9">
        <v>416</v>
      </c>
      <c r="L240" s="9">
        <v>2024</v>
      </c>
      <c r="M240" s="8" t="s">
        <v>1605</v>
      </c>
      <c r="N240" s="8" t="s">
        <v>40</v>
      </c>
      <c r="O240" s="8" t="s">
        <v>41</v>
      </c>
      <c r="P240" s="6" t="s">
        <v>42</v>
      </c>
      <c r="Q240" s="8" t="s">
        <v>66</v>
      </c>
      <c r="R240" s="10" t="s">
        <v>95</v>
      </c>
      <c r="S240" s="11" t="s">
        <v>1606</v>
      </c>
      <c r="T240" s="6"/>
      <c r="U240" s="28" t="str">
        <f>HYPERLINK("https://media.infra-m.ru/2054/2054226/cover/2054226.jpg", "Обложка")</f>
        <v>Обложка</v>
      </c>
      <c r="V240" s="28" t="str">
        <f>HYPERLINK("https://znanium.com/catalog/product/1190668", "Ознакомиться")</f>
        <v>Ознакомиться</v>
      </c>
      <c r="W240" s="8" t="s">
        <v>189</v>
      </c>
      <c r="X240" s="6"/>
      <c r="Y240" s="6"/>
      <c r="Z240" s="6"/>
      <c r="AA240" s="6" t="s">
        <v>415</v>
      </c>
    </row>
    <row r="241" spans="1:27" s="4" customFormat="1" ht="51.95" customHeight="1">
      <c r="A241" s="5">
        <v>0</v>
      </c>
      <c r="B241" s="6" t="s">
        <v>1607</v>
      </c>
      <c r="C241" s="13">
        <v>1000</v>
      </c>
      <c r="D241" s="8" t="s">
        <v>1608</v>
      </c>
      <c r="E241" s="8" t="s">
        <v>1609</v>
      </c>
      <c r="F241" s="8" t="s">
        <v>1610</v>
      </c>
      <c r="G241" s="6" t="s">
        <v>37</v>
      </c>
      <c r="H241" s="6" t="s">
        <v>113</v>
      </c>
      <c r="I241" s="8" t="s">
        <v>54</v>
      </c>
      <c r="J241" s="9">
        <v>1</v>
      </c>
      <c r="K241" s="9">
        <v>211</v>
      </c>
      <c r="L241" s="9">
        <v>2024</v>
      </c>
      <c r="M241" s="8" t="s">
        <v>1611</v>
      </c>
      <c r="N241" s="8" t="s">
        <v>40</v>
      </c>
      <c r="O241" s="8" t="s">
        <v>41</v>
      </c>
      <c r="P241" s="6" t="s">
        <v>42</v>
      </c>
      <c r="Q241" s="8" t="s">
        <v>43</v>
      </c>
      <c r="R241" s="10" t="s">
        <v>1612</v>
      </c>
      <c r="S241" s="11"/>
      <c r="T241" s="6"/>
      <c r="U241" s="28" t="str">
        <f>HYPERLINK("https://media.infra-m.ru/1872/1872684/cover/1872684.jpg", "Обложка")</f>
        <v>Обложка</v>
      </c>
      <c r="V241" s="28" t="str">
        <f>HYPERLINK("https://znanium.com/catalog/product/1872684", "Ознакомиться")</f>
        <v>Ознакомиться</v>
      </c>
      <c r="W241" s="8" t="s">
        <v>204</v>
      </c>
      <c r="X241" s="6" t="s">
        <v>381</v>
      </c>
      <c r="Y241" s="6"/>
      <c r="Z241" s="6"/>
      <c r="AA241" s="6" t="s">
        <v>173</v>
      </c>
    </row>
    <row r="242" spans="1:27" s="4" customFormat="1" ht="44.1" customHeight="1">
      <c r="A242" s="5">
        <v>0</v>
      </c>
      <c r="B242" s="6" t="s">
        <v>1613</v>
      </c>
      <c r="C242" s="7">
        <v>964</v>
      </c>
      <c r="D242" s="8" t="s">
        <v>1614</v>
      </c>
      <c r="E242" s="8" t="s">
        <v>1615</v>
      </c>
      <c r="F242" s="8" t="s">
        <v>1577</v>
      </c>
      <c r="G242" s="6" t="s">
        <v>74</v>
      </c>
      <c r="H242" s="6" t="s">
        <v>53</v>
      </c>
      <c r="I242" s="8" t="s">
        <v>54</v>
      </c>
      <c r="J242" s="9">
        <v>1</v>
      </c>
      <c r="K242" s="9">
        <v>160</v>
      </c>
      <c r="L242" s="9">
        <v>2024</v>
      </c>
      <c r="M242" s="8" t="s">
        <v>1616</v>
      </c>
      <c r="N242" s="8" t="s">
        <v>40</v>
      </c>
      <c r="O242" s="8" t="s">
        <v>41</v>
      </c>
      <c r="P242" s="6" t="s">
        <v>42</v>
      </c>
      <c r="Q242" s="8" t="s">
        <v>43</v>
      </c>
      <c r="R242" s="10" t="s">
        <v>1617</v>
      </c>
      <c r="S242" s="11"/>
      <c r="T242" s="6"/>
      <c r="U242" s="28" t="str">
        <f>HYPERLINK("https://media.infra-m.ru/2105/2105796/cover/2105796.jpg", "Обложка")</f>
        <v>Обложка</v>
      </c>
      <c r="V242" s="28" t="str">
        <f>HYPERLINK("https://znanium.com/catalog/product/1856698", "Ознакомиться")</f>
        <v>Ознакомиться</v>
      </c>
      <c r="W242" s="8" t="s">
        <v>1061</v>
      </c>
      <c r="X242" s="6"/>
      <c r="Y242" s="6"/>
      <c r="Z242" s="6"/>
      <c r="AA242" s="6" t="s">
        <v>78</v>
      </c>
    </row>
    <row r="243" spans="1:27" s="4" customFormat="1" ht="51.95" customHeight="1">
      <c r="A243" s="5">
        <v>0</v>
      </c>
      <c r="B243" s="6" t="s">
        <v>1618</v>
      </c>
      <c r="C243" s="7">
        <v>950</v>
      </c>
      <c r="D243" s="8" t="s">
        <v>1619</v>
      </c>
      <c r="E243" s="8" t="s">
        <v>1620</v>
      </c>
      <c r="F243" s="8" t="s">
        <v>1621</v>
      </c>
      <c r="G243" s="6" t="s">
        <v>52</v>
      </c>
      <c r="H243" s="6" t="s">
        <v>113</v>
      </c>
      <c r="I243" s="8" t="s">
        <v>75</v>
      </c>
      <c r="J243" s="9">
        <v>1</v>
      </c>
      <c r="K243" s="9">
        <v>206</v>
      </c>
      <c r="L243" s="9">
        <v>2022</v>
      </c>
      <c r="M243" s="8" t="s">
        <v>1622</v>
      </c>
      <c r="N243" s="8" t="s">
        <v>40</v>
      </c>
      <c r="O243" s="8" t="s">
        <v>41</v>
      </c>
      <c r="P243" s="6" t="s">
        <v>42</v>
      </c>
      <c r="Q243" s="8" t="s">
        <v>43</v>
      </c>
      <c r="R243" s="10" t="s">
        <v>230</v>
      </c>
      <c r="S243" s="11" t="s">
        <v>1623</v>
      </c>
      <c r="T243" s="6"/>
      <c r="U243" s="28" t="str">
        <f>HYPERLINK("https://media.infra-m.ru/1817/1817957/cover/1817957.jpg", "Обложка")</f>
        <v>Обложка</v>
      </c>
      <c r="V243" s="28" t="str">
        <f>HYPERLINK("https://znanium.com/catalog/product/1817957", "Ознакомиться")</f>
        <v>Ознакомиться</v>
      </c>
      <c r="W243" s="8" t="s">
        <v>857</v>
      </c>
      <c r="X243" s="6"/>
      <c r="Y243" s="6"/>
      <c r="Z243" s="6"/>
      <c r="AA243" s="6" t="s">
        <v>253</v>
      </c>
    </row>
    <row r="244" spans="1:27" s="4" customFormat="1" ht="51.95" customHeight="1">
      <c r="A244" s="5">
        <v>0</v>
      </c>
      <c r="B244" s="6" t="s">
        <v>1624</v>
      </c>
      <c r="C244" s="7">
        <v>900</v>
      </c>
      <c r="D244" s="8" t="s">
        <v>1625</v>
      </c>
      <c r="E244" s="8" t="s">
        <v>1626</v>
      </c>
      <c r="F244" s="8" t="s">
        <v>1627</v>
      </c>
      <c r="G244" s="6" t="s">
        <v>52</v>
      </c>
      <c r="H244" s="6" t="s">
        <v>53</v>
      </c>
      <c r="I244" s="8" t="s">
        <v>64</v>
      </c>
      <c r="J244" s="9">
        <v>1</v>
      </c>
      <c r="K244" s="9">
        <v>194</v>
      </c>
      <c r="L244" s="9">
        <v>2024</v>
      </c>
      <c r="M244" s="8" t="s">
        <v>1628</v>
      </c>
      <c r="N244" s="8" t="s">
        <v>40</v>
      </c>
      <c r="O244" s="8" t="s">
        <v>41</v>
      </c>
      <c r="P244" s="6" t="s">
        <v>42</v>
      </c>
      <c r="Q244" s="8" t="s">
        <v>66</v>
      </c>
      <c r="R244" s="10" t="s">
        <v>786</v>
      </c>
      <c r="S244" s="11" t="s">
        <v>1629</v>
      </c>
      <c r="T244" s="6"/>
      <c r="U244" s="28" t="str">
        <f>HYPERLINK("https://media.infra-m.ru/2120/2120767/cover/2120767.jpg", "Обложка")</f>
        <v>Обложка</v>
      </c>
      <c r="V244" s="28" t="str">
        <f>HYPERLINK("https://znanium.com/catalog/product/2120767", "Ознакомиться")</f>
        <v>Ознакомиться</v>
      </c>
      <c r="W244" s="8" t="s">
        <v>1630</v>
      </c>
      <c r="X244" s="6"/>
      <c r="Y244" s="6"/>
      <c r="Z244" s="6"/>
      <c r="AA244" s="6" t="s">
        <v>59</v>
      </c>
    </row>
    <row r="245" spans="1:27" s="4" customFormat="1" ht="51.95" customHeight="1">
      <c r="A245" s="5">
        <v>0</v>
      </c>
      <c r="B245" s="6" t="s">
        <v>1631</v>
      </c>
      <c r="C245" s="7">
        <v>464.9</v>
      </c>
      <c r="D245" s="8" t="s">
        <v>1632</v>
      </c>
      <c r="E245" s="8" t="s">
        <v>1633</v>
      </c>
      <c r="F245" s="8" t="s">
        <v>1627</v>
      </c>
      <c r="G245" s="6" t="s">
        <v>74</v>
      </c>
      <c r="H245" s="6" t="s">
        <v>53</v>
      </c>
      <c r="I245" s="8"/>
      <c r="J245" s="9">
        <v>1</v>
      </c>
      <c r="K245" s="9">
        <v>96</v>
      </c>
      <c r="L245" s="9">
        <v>2021</v>
      </c>
      <c r="M245" s="8" t="s">
        <v>1634</v>
      </c>
      <c r="N245" s="8" t="s">
        <v>40</v>
      </c>
      <c r="O245" s="8" t="s">
        <v>41</v>
      </c>
      <c r="P245" s="6" t="s">
        <v>42</v>
      </c>
      <c r="Q245" s="8" t="s">
        <v>66</v>
      </c>
      <c r="R245" s="10" t="s">
        <v>786</v>
      </c>
      <c r="S245" s="11" t="s">
        <v>1635</v>
      </c>
      <c r="T245" s="6"/>
      <c r="U245" s="28" t="str">
        <f>HYPERLINK("https://media.infra-m.ru/1212/1212527/cover/1212527.jpg", "Обложка")</f>
        <v>Обложка</v>
      </c>
      <c r="V245" s="28" t="str">
        <f>HYPERLINK("https://znanium.com/catalog/product/2120767", "Ознакомиться")</f>
        <v>Ознакомиться</v>
      </c>
      <c r="W245" s="8" t="s">
        <v>1630</v>
      </c>
      <c r="X245" s="6"/>
      <c r="Y245" s="6"/>
      <c r="Z245" s="6"/>
      <c r="AA245" s="6" t="s">
        <v>47</v>
      </c>
    </row>
    <row r="246" spans="1:27" s="4" customFormat="1" ht="51.95" customHeight="1">
      <c r="A246" s="5">
        <v>0</v>
      </c>
      <c r="B246" s="6" t="s">
        <v>1636</v>
      </c>
      <c r="C246" s="13">
        <v>1144</v>
      </c>
      <c r="D246" s="8" t="s">
        <v>1637</v>
      </c>
      <c r="E246" s="8" t="s">
        <v>1638</v>
      </c>
      <c r="F246" s="8" t="s">
        <v>1639</v>
      </c>
      <c r="G246" s="6" t="s">
        <v>52</v>
      </c>
      <c r="H246" s="6" t="s">
        <v>149</v>
      </c>
      <c r="I246" s="8" t="s">
        <v>75</v>
      </c>
      <c r="J246" s="9">
        <v>1</v>
      </c>
      <c r="K246" s="9">
        <v>255</v>
      </c>
      <c r="L246" s="9">
        <v>2023</v>
      </c>
      <c r="M246" s="8" t="s">
        <v>1640</v>
      </c>
      <c r="N246" s="8" t="s">
        <v>40</v>
      </c>
      <c r="O246" s="8" t="s">
        <v>41</v>
      </c>
      <c r="P246" s="6" t="s">
        <v>42</v>
      </c>
      <c r="Q246" s="8" t="s">
        <v>43</v>
      </c>
      <c r="R246" s="10" t="s">
        <v>1641</v>
      </c>
      <c r="S246" s="11" t="s">
        <v>1642</v>
      </c>
      <c r="T246" s="6"/>
      <c r="U246" s="28" t="str">
        <f>HYPERLINK("https://media.infra-m.ru/1903/1903251/cover/1903251.jpg", "Обложка")</f>
        <v>Обложка</v>
      </c>
      <c r="V246" s="28" t="str">
        <f>HYPERLINK("https://znanium.com/catalog/product/1062374", "Ознакомиться")</f>
        <v>Ознакомиться</v>
      </c>
      <c r="W246" s="8" t="s">
        <v>261</v>
      </c>
      <c r="X246" s="6"/>
      <c r="Y246" s="6"/>
      <c r="Z246" s="6"/>
      <c r="AA246" s="6" t="s">
        <v>108</v>
      </c>
    </row>
    <row r="247" spans="1:27" s="4" customFormat="1" ht="51.95" customHeight="1">
      <c r="A247" s="5">
        <v>0</v>
      </c>
      <c r="B247" s="6" t="s">
        <v>1643</v>
      </c>
      <c r="C247" s="13">
        <v>1804.9</v>
      </c>
      <c r="D247" s="8" t="s">
        <v>1644</v>
      </c>
      <c r="E247" s="8" t="s">
        <v>1645</v>
      </c>
      <c r="F247" s="8" t="s">
        <v>1646</v>
      </c>
      <c r="G247" s="6" t="s">
        <v>37</v>
      </c>
      <c r="H247" s="6" t="s">
        <v>149</v>
      </c>
      <c r="I247" s="8" t="s">
        <v>54</v>
      </c>
      <c r="J247" s="9">
        <v>1</v>
      </c>
      <c r="K247" s="9">
        <v>400</v>
      </c>
      <c r="L247" s="9">
        <v>2023</v>
      </c>
      <c r="M247" s="8" t="s">
        <v>1647</v>
      </c>
      <c r="N247" s="8" t="s">
        <v>40</v>
      </c>
      <c r="O247" s="8" t="s">
        <v>41</v>
      </c>
      <c r="P247" s="6" t="s">
        <v>42</v>
      </c>
      <c r="Q247" s="8" t="s">
        <v>43</v>
      </c>
      <c r="R247" s="10" t="s">
        <v>1648</v>
      </c>
      <c r="S247" s="11" t="s">
        <v>1649</v>
      </c>
      <c r="T247" s="6"/>
      <c r="U247" s="28" t="str">
        <f>HYPERLINK("https://media.infra-m.ru/1998/1998841/cover/1998841.jpg", "Обложка")</f>
        <v>Обложка</v>
      </c>
      <c r="V247" s="28" t="str">
        <f>HYPERLINK("https://znanium.com/catalog/product/1843633", "Ознакомиться")</f>
        <v>Ознакомиться</v>
      </c>
      <c r="W247" s="8" t="s">
        <v>88</v>
      </c>
      <c r="X247" s="6"/>
      <c r="Y247" s="6"/>
      <c r="Z247" s="6"/>
      <c r="AA247" s="6" t="s">
        <v>89</v>
      </c>
    </row>
    <row r="248" spans="1:27" s="4" customFormat="1" ht="51.95" customHeight="1">
      <c r="A248" s="5">
        <v>0</v>
      </c>
      <c r="B248" s="6" t="s">
        <v>1650</v>
      </c>
      <c r="C248" s="7">
        <v>884</v>
      </c>
      <c r="D248" s="8" t="s">
        <v>1651</v>
      </c>
      <c r="E248" s="8" t="s">
        <v>1652</v>
      </c>
      <c r="F248" s="8" t="s">
        <v>1653</v>
      </c>
      <c r="G248" s="6" t="s">
        <v>74</v>
      </c>
      <c r="H248" s="6" t="s">
        <v>83</v>
      </c>
      <c r="I248" s="8" t="s">
        <v>140</v>
      </c>
      <c r="J248" s="9">
        <v>1</v>
      </c>
      <c r="K248" s="9">
        <v>192</v>
      </c>
      <c r="L248" s="9">
        <v>2024</v>
      </c>
      <c r="M248" s="8" t="s">
        <v>1654</v>
      </c>
      <c r="N248" s="8" t="s">
        <v>40</v>
      </c>
      <c r="O248" s="8" t="s">
        <v>41</v>
      </c>
      <c r="P248" s="6" t="s">
        <v>133</v>
      </c>
      <c r="Q248" s="8" t="s">
        <v>125</v>
      </c>
      <c r="R248" s="10" t="s">
        <v>1655</v>
      </c>
      <c r="S248" s="11"/>
      <c r="T248" s="6"/>
      <c r="U248" s="28" t="str">
        <f>HYPERLINK("https://media.infra-m.ru/2079/2079652/cover/2079652.jpg", "Обложка")</f>
        <v>Обложка</v>
      </c>
      <c r="V248" s="28" t="str">
        <f>HYPERLINK("https://znanium.com/catalog/product/1857458", "Ознакомиться")</f>
        <v>Ознакомиться</v>
      </c>
      <c r="W248" s="8" t="s">
        <v>536</v>
      </c>
      <c r="X248" s="6"/>
      <c r="Y248" s="6"/>
      <c r="Z248" s="6"/>
      <c r="AA248" s="6" t="s">
        <v>47</v>
      </c>
    </row>
    <row r="249" spans="1:27" s="4" customFormat="1" ht="51.95" customHeight="1">
      <c r="A249" s="5">
        <v>0</v>
      </c>
      <c r="B249" s="6" t="s">
        <v>1656</v>
      </c>
      <c r="C249" s="13">
        <v>1504.9</v>
      </c>
      <c r="D249" s="8" t="s">
        <v>1657</v>
      </c>
      <c r="E249" s="8" t="s">
        <v>1658</v>
      </c>
      <c r="F249" s="8" t="s">
        <v>651</v>
      </c>
      <c r="G249" s="6" t="s">
        <v>37</v>
      </c>
      <c r="H249" s="6" t="s">
        <v>113</v>
      </c>
      <c r="I249" s="8" t="s">
        <v>64</v>
      </c>
      <c r="J249" s="9">
        <v>1</v>
      </c>
      <c r="K249" s="9">
        <v>334</v>
      </c>
      <c r="L249" s="9">
        <v>2023</v>
      </c>
      <c r="M249" s="8" t="s">
        <v>1659</v>
      </c>
      <c r="N249" s="8" t="s">
        <v>40</v>
      </c>
      <c r="O249" s="8" t="s">
        <v>41</v>
      </c>
      <c r="P249" s="6" t="s">
        <v>42</v>
      </c>
      <c r="Q249" s="8" t="s">
        <v>66</v>
      </c>
      <c r="R249" s="10" t="s">
        <v>203</v>
      </c>
      <c r="S249" s="11" t="s">
        <v>1660</v>
      </c>
      <c r="T249" s="6"/>
      <c r="U249" s="28" t="str">
        <f>HYPERLINK("https://media.infra-m.ru/2004/2004378/cover/2004378.jpg", "Обложка")</f>
        <v>Обложка</v>
      </c>
      <c r="V249" s="28" t="str">
        <f>HYPERLINK("https://znanium.com/catalog/product/989598", "Ознакомиться")</f>
        <v>Ознакомиться</v>
      </c>
      <c r="W249" s="8" t="s">
        <v>655</v>
      </c>
      <c r="X249" s="6"/>
      <c r="Y249" s="6"/>
      <c r="Z249" s="6"/>
      <c r="AA249" s="6" t="s">
        <v>245</v>
      </c>
    </row>
    <row r="250" spans="1:27" s="4" customFormat="1" ht="51.95" customHeight="1">
      <c r="A250" s="5">
        <v>0</v>
      </c>
      <c r="B250" s="6" t="s">
        <v>1661</v>
      </c>
      <c r="C250" s="7">
        <v>694.9</v>
      </c>
      <c r="D250" s="8" t="s">
        <v>1662</v>
      </c>
      <c r="E250" s="8" t="s">
        <v>1663</v>
      </c>
      <c r="F250" s="8" t="s">
        <v>1664</v>
      </c>
      <c r="G250" s="6" t="s">
        <v>37</v>
      </c>
      <c r="H250" s="6" t="s">
        <v>83</v>
      </c>
      <c r="I250" s="8"/>
      <c r="J250" s="9">
        <v>1</v>
      </c>
      <c r="K250" s="9">
        <v>374</v>
      </c>
      <c r="L250" s="9">
        <v>2018</v>
      </c>
      <c r="M250" s="8" t="s">
        <v>1665</v>
      </c>
      <c r="N250" s="8" t="s">
        <v>40</v>
      </c>
      <c r="O250" s="8" t="s">
        <v>41</v>
      </c>
      <c r="P250" s="6" t="s">
        <v>42</v>
      </c>
      <c r="Q250" s="8" t="s">
        <v>1666</v>
      </c>
      <c r="R250" s="10" t="s">
        <v>1667</v>
      </c>
      <c r="S250" s="11"/>
      <c r="T250" s="6"/>
      <c r="U250" s="28" t="str">
        <f>HYPERLINK("https://media.infra-m.ru/0918/0918475/cover/918475.jpg", "Обложка")</f>
        <v>Обложка</v>
      </c>
      <c r="V250" s="28" t="str">
        <f>HYPERLINK("https://znanium.com/catalog/product/1226526", "Ознакомиться")</f>
        <v>Ознакомиться</v>
      </c>
      <c r="W250" s="8"/>
      <c r="X250" s="6"/>
      <c r="Y250" s="6"/>
      <c r="Z250" s="6"/>
      <c r="AA250" s="6" t="s">
        <v>89</v>
      </c>
    </row>
    <row r="251" spans="1:27" s="4" customFormat="1" ht="51.95" customHeight="1">
      <c r="A251" s="5">
        <v>0</v>
      </c>
      <c r="B251" s="6" t="s">
        <v>1668</v>
      </c>
      <c r="C251" s="7">
        <v>940</v>
      </c>
      <c r="D251" s="8" t="s">
        <v>1669</v>
      </c>
      <c r="E251" s="8" t="s">
        <v>1670</v>
      </c>
      <c r="F251" s="8" t="s">
        <v>1671</v>
      </c>
      <c r="G251" s="6" t="s">
        <v>37</v>
      </c>
      <c r="H251" s="6" t="s">
        <v>113</v>
      </c>
      <c r="I251" s="8" t="s">
        <v>1672</v>
      </c>
      <c r="J251" s="9">
        <v>1</v>
      </c>
      <c r="K251" s="9">
        <v>203</v>
      </c>
      <c r="L251" s="9">
        <v>2023</v>
      </c>
      <c r="M251" s="8" t="s">
        <v>1673</v>
      </c>
      <c r="N251" s="8" t="s">
        <v>40</v>
      </c>
      <c r="O251" s="8" t="s">
        <v>41</v>
      </c>
      <c r="P251" s="6" t="s">
        <v>42</v>
      </c>
      <c r="Q251" s="8" t="s">
        <v>43</v>
      </c>
      <c r="R251" s="10" t="s">
        <v>1674</v>
      </c>
      <c r="S251" s="11" t="s">
        <v>1675</v>
      </c>
      <c r="T251" s="6"/>
      <c r="U251" s="28" t="str">
        <f>HYPERLINK("https://media.infra-m.ru/1910/1910892/cover/1910892.jpg", "Обложка")</f>
        <v>Обложка</v>
      </c>
      <c r="V251" s="12"/>
      <c r="W251" s="8" t="s">
        <v>135</v>
      </c>
      <c r="X251" s="6" t="s">
        <v>1113</v>
      </c>
      <c r="Y251" s="6"/>
      <c r="Z251" s="6"/>
      <c r="AA251" s="6" t="s">
        <v>1676</v>
      </c>
    </row>
    <row r="252" spans="1:27" s="4" customFormat="1" ht="51.95" customHeight="1">
      <c r="A252" s="5">
        <v>0</v>
      </c>
      <c r="B252" s="6" t="s">
        <v>1677</v>
      </c>
      <c r="C252" s="7">
        <v>990</v>
      </c>
      <c r="D252" s="8" t="s">
        <v>1678</v>
      </c>
      <c r="E252" s="8" t="s">
        <v>1679</v>
      </c>
      <c r="F252" s="8" t="s">
        <v>1680</v>
      </c>
      <c r="G252" s="6" t="s">
        <v>52</v>
      </c>
      <c r="H252" s="6" t="s">
        <v>113</v>
      </c>
      <c r="I252" s="8" t="s">
        <v>377</v>
      </c>
      <c r="J252" s="9">
        <v>1</v>
      </c>
      <c r="K252" s="9">
        <v>207</v>
      </c>
      <c r="L252" s="9">
        <v>2024</v>
      </c>
      <c r="M252" s="8" t="s">
        <v>1681</v>
      </c>
      <c r="N252" s="8" t="s">
        <v>40</v>
      </c>
      <c r="O252" s="8" t="s">
        <v>41</v>
      </c>
      <c r="P252" s="6" t="s">
        <v>42</v>
      </c>
      <c r="Q252" s="8" t="s">
        <v>379</v>
      </c>
      <c r="R252" s="10" t="s">
        <v>1682</v>
      </c>
      <c r="S252" s="11" t="s">
        <v>1683</v>
      </c>
      <c r="T252" s="6"/>
      <c r="U252" s="28" t="str">
        <f>HYPERLINK("https://media.infra-m.ru/2051/2051477/cover/2051477.jpg", "Обложка")</f>
        <v>Обложка</v>
      </c>
      <c r="V252" s="28" t="str">
        <f>HYPERLINK("https://znanium.com/catalog/product/2051477", "Ознакомиться")</f>
        <v>Ознакомиться</v>
      </c>
      <c r="W252" s="8" t="s">
        <v>46</v>
      </c>
      <c r="X252" s="6"/>
      <c r="Y252" s="6"/>
      <c r="Z252" s="6"/>
      <c r="AA252" s="6" t="s">
        <v>245</v>
      </c>
    </row>
    <row r="253" spans="1:27" s="4" customFormat="1" ht="51.95" customHeight="1">
      <c r="A253" s="5">
        <v>0</v>
      </c>
      <c r="B253" s="6" t="s">
        <v>1684</v>
      </c>
      <c r="C253" s="13">
        <v>1984</v>
      </c>
      <c r="D253" s="8" t="s">
        <v>1685</v>
      </c>
      <c r="E253" s="8" t="s">
        <v>1686</v>
      </c>
      <c r="F253" s="8" t="s">
        <v>784</v>
      </c>
      <c r="G253" s="6" t="s">
        <v>37</v>
      </c>
      <c r="H253" s="6" t="s">
        <v>53</v>
      </c>
      <c r="I253" s="8" t="s">
        <v>84</v>
      </c>
      <c r="J253" s="9">
        <v>1</v>
      </c>
      <c r="K253" s="9">
        <v>432</v>
      </c>
      <c r="L253" s="9">
        <v>2023</v>
      </c>
      <c r="M253" s="8" t="s">
        <v>1687</v>
      </c>
      <c r="N253" s="8" t="s">
        <v>40</v>
      </c>
      <c r="O253" s="8" t="s">
        <v>41</v>
      </c>
      <c r="P253" s="6" t="s">
        <v>42</v>
      </c>
      <c r="Q253" s="8" t="s">
        <v>66</v>
      </c>
      <c r="R253" s="10" t="s">
        <v>786</v>
      </c>
      <c r="S253" s="11" t="s">
        <v>1688</v>
      </c>
      <c r="T253" s="6"/>
      <c r="U253" s="28" t="str">
        <f>HYPERLINK("https://media.infra-m.ru/1926/1926303/cover/1926303.jpg", "Обложка")</f>
        <v>Обложка</v>
      </c>
      <c r="V253" s="28" t="str">
        <f>HYPERLINK("https://znanium.com/catalog/product/1778076", "Ознакомиться")</f>
        <v>Ознакомиться</v>
      </c>
      <c r="W253" s="8" t="s">
        <v>495</v>
      </c>
      <c r="X253" s="6"/>
      <c r="Y253" s="6"/>
      <c r="Z253" s="6"/>
      <c r="AA253" s="6" t="s">
        <v>496</v>
      </c>
    </row>
    <row r="254" spans="1:27" s="4" customFormat="1" ht="51.95" customHeight="1">
      <c r="A254" s="5">
        <v>0</v>
      </c>
      <c r="B254" s="6" t="s">
        <v>1689</v>
      </c>
      <c r="C254" s="7">
        <v>594.9</v>
      </c>
      <c r="D254" s="8" t="s">
        <v>1690</v>
      </c>
      <c r="E254" s="8" t="s">
        <v>1691</v>
      </c>
      <c r="F254" s="8" t="s">
        <v>1692</v>
      </c>
      <c r="G254" s="6" t="s">
        <v>74</v>
      </c>
      <c r="H254" s="6" t="s">
        <v>53</v>
      </c>
      <c r="I254" s="8" t="s">
        <v>84</v>
      </c>
      <c r="J254" s="9">
        <v>1</v>
      </c>
      <c r="K254" s="9">
        <v>224</v>
      </c>
      <c r="L254" s="9">
        <v>2018</v>
      </c>
      <c r="M254" s="8" t="s">
        <v>1693</v>
      </c>
      <c r="N254" s="8" t="s">
        <v>40</v>
      </c>
      <c r="O254" s="8" t="s">
        <v>41</v>
      </c>
      <c r="P254" s="6" t="s">
        <v>42</v>
      </c>
      <c r="Q254" s="8" t="s">
        <v>66</v>
      </c>
      <c r="R254" s="10" t="s">
        <v>1694</v>
      </c>
      <c r="S254" s="11"/>
      <c r="T254" s="6"/>
      <c r="U254" s="28" t="str">
        <f>HYPERLINK("https://media.infra-m.ru/0954/0954397/cover/954397.jpg", "Обложка")</f>
        <v>Обложка</v>
      </c>
      <c r="V254" s="12"/>
      <c r="W254" s="8" t="s">
        <v>152</v>
      </c>
      <c r="X254" s="6"/>
      <c r="Y254" s="6"/>
      <c r="Z254" s="6"/>
      <c r="AA254" s="6" t="s">
        <v>363</v>
      </c>
    </row>
    <row r="255" spans="1:27" s="4" customFormat="1" ht="51.95" customHeight="1">
      <c r="A255" s="5">
        <v>0</v>
      </c>
      <c r="B255" s="6" t="s">
        <v>1695</v>
      </c>
      <c r="C255" s="7">
        <v>904.9</v>
      </c>
      <c r="D255" s="8" t="s">
        <v>1696</v>
      </c>
      <c r="E255" s="8" t="s">
        <v>1697</v>
      </c>
      <c r="F255" s="8" t="s">
        <v>1698</v>
      </c>
      <c r="G255" s="6" t="s">
        <v>37</v>
      </c>
      <c r="H255" s="6" t="s">
        <v>149</v>
      </c>
      <c r="I255" s="8" t="s">
        <v>54</v>
      </c>
      <c r="J255" s="9">
        <v>1</v>
      </c>
      <c r="K255" s="9">
        <v>200</v>
      </c>
      <c r="L255" s="9">
        <v>2023</v>
      </c>
      <c r="M255" s="8" t="s">
        <v>1699</v>
      </c>
      <c r="N255" s="8" t="s">
        <v>40</v>
      </c>
      <c r="O255" s="8" t="s">
        <v>41</v>
      </c>
      <c r="P255" s="6" t="s">
        <v>42</v>
      </c>
      <c r="Q255" s="8" t="s">
        <v>485</v>
      </c>
      <c r="R255" s="10" t="s">
        <v>1700</v>
      </c>
      <c r="S255" s="11" t="s">
        <v>1701</v>
      </c>
      <c r="T255" s="6"/>
      <c r="U255" s="28" t="str">
        <f>HYPERLINK("https://media.infra-m.ru/1913/1913674/cover/1913674.jpg", "Обложка")</f>
        <v>Обложка</v>
      </c>
      <c r="V255" s="28" t="str">
        <f>HYPERLINK("https://znanium.com/catalog/product/966062", "Ознакомиться")</f>
        <v>Ознакомиться</v>
      </c>
      <c r="W255" s="8" t="s">
        <v>587</v>
      </c>
      <c r="X255" s="6"/>
      <c r="Y255" s="6"/>
      <c r="Z255" s="6"/>
      <c r="AA255" s="6" t="s">
        <v>144</v>
      </c>
    </row>
    <row r="256" spans="1:27" s="4" customFormat="1" ht="42" customHeight="1">
      <c r="A256" s="5">
        <v>0</v>
      </c>
      <c r="B256" s="6" t="s">
        <v>1702</v>
      </c>
      <c r="C256" s="7">
        <v>880</v>
      </c>
      <c r="D256" s="8" t="s">
        <v>1703</v>
      </c>
      <c r="E256" s="8" t="s">
        <v>1704</v>
      </c>
      <c r="F256" s="8" t="s">
        <v>1705</v>
      </c>
      <c r="G256" s="6" t="s">
        <v>52</v>
      </c>
      <c r="H256" s="6" t="s">
        <v>158</v>
      </c>
      <c r="I256" s="8"/>
      <c r="J256" s="9">
        <v>1</v>
      </c>
      <c r="K256" s="9">
        <v>184</v>
      </c>
      <c r="L256" s="9">
        <v>2023</v>
      </c>
      <c r="M256" s="8" t="s">
        <v>1706</v>
      </c>
      <c r="N256" s="8" t="s">
        <v>40</v>
      </c>
      <c r="O256" s="8" t="s">
        <v>41</v>
      </c>
      <c r="P256" s="6" t="s">
        <v>42</v>
      </c>
      <c r="Q256" s="8" t="s">
        <v>43</v>
      </c>
      <c r="R256" s="10" t="s">
        <v>1707</v>
      </c>
      <c r="S256" s="11"/>
      <c r="T256" s="6"/>
      <c r="U256" s="28" t="str">
        <f>HYPERLINK("https://media.infra-m.ru/1916/1916387/cover/1916387.jpg", "Обложка")</f>
        <v>Обложка</v>
      </c>
      <c r="V256" s="28" t="str">
        <f>HYPERLINK("https://znanium.com/catalog/product/1916387", "Ознакомиться")</f>
        <v>Ознакомиться</v>
      </c>
      <c r="W256" s="8" t="s">
        <v>164</v>
      </c>
      <c r="X256" s="6"/>
      <c r="Y256" s="6"/>
      <c r="Z256" s="6"/>
      <c r="AA256" s="6" t="s">
        <v>144</v>
      </c>
    </row>
    <row r="257" spans="1:27" s="4" customFormat="1" ht="51.95" customHeight="1">
      <c r="A257" s="5">
        <v>0</v>
      </c>
      <c r="B257" s="6" t="s">
        <v>1708</v>
      </c>
      <c r="C257" s="7">
        <v>450</v>
      </c>
      <c r="D257" s="8" t="s">
        <v>1709</v>
      </c>
      <c r="E257" s="8" t="s">
        <v>1710</v>
      </c>
      <c r="F257" s="8" t="s">
        <v>1711</v>
      </c>
      <c r="G257" s="6" t="s">
        <v>74</v>
      </c>
      <c r="H257" s="6" t="s">
        <v>113</v>
      </c>
      <c r="I257" s="8" t="s">
        <v>140</v>
      </c>
      <c r="J257" s="9">
        <v>1</v>
      </c>
      <c r="K257" s="9">
        <v>131</v>
      </c>
      <c r="L257" s="9">
        <v>2020</v>
      </c>
      <c r="M257" s="8" t="s">
        <v>1712</v>
      </c>
      <c r="N257" s="8" t="s">
        <v>40</v>
      </c>
      <c r="O257" s="8" t="s">
        <v>41</v>
      </c>
      <c r="P257" s="6" t="s">
        <v>133</v>
      </c>
      <c r="Q257" s="8" t="s">
        <v>125</v>
      </c>
      <c r="R257" s="10" t="s">
        <v>1713</v>
      </c>
      <c r="S257" s="11"/>
      <c r="T257" s="6"/>
      <c r="U257" s="28" t="str">
        <f>HYPERLINK("https://media.infra-m.ru/1036/1036519/cover/1036519.jpg", "Обложка")</f>
        <v>Обложка</v>
      </c>
      <c r="V257" s="28" t="str">
        <f>HYPERLINK("https://znanium.com/catalog/product/1036519", "Ознакомиться")</f>
        <v>Ознакомиться</v>
      </c>
      <c r="W257" s="8" t="s">
        <v>135</v>
      </c>
      <c r="X257" s="6"/>
      <c r="Y257" s="6"/>
      <c r="Z257" s="6"/>
      <c r="AA257" s="6" t="s">
        <v>47</v>
      </c>
    </row>
    <row r="258" spans="1:27" s="4" customFormat="1" ht="42" customHeight="1">
      <c r="A258" s="5">
        <v>0</v>
      </c>
      <c r="B258" s="6" t="s">
        <v>1714</v>
      </c>
      <c r="C258" s="7">
        <v>980</v>
      </c>
      <c r="D258" s="8" t="s">
        <v>1715</v>
      </c>
      <c r="E258" s="8" t="s">
        <v>1716</v>
      </c>
      <c r="F258" s="8" t="s">
        <v>1717</v>
      </c>
      <c r="G258" s="6" t="s">
        <v>74</v>
      </c>
      <c r="H258" s="6" t="s">
        <v>53</v>
      </c>
      <c r="I258" s="8" t="s">
        <v>64</v>
      </c>
      <c r="J258" s="9">
        <v>1</v>
      </c>
      <c r="K258" s="9">
        <v>168</v>
      </c>
      <c r="L258" s="9">
        <v>2023</v>
      </c>
      <c r="M258" s="8" t="s">
        <v>1718</v>
      </c>
      <c r="N258" s="8" t="s">
        <v>40</v>
      </c>
      <c r="O258" s="8" t="s">
        <v>41</v>
      </c>
      <c r="P258" s="6" t="s">
        <v>1140</v>
      </c>
      <c r="Q258" s="8" t="s">
        <v>66</v>
      </c>
      <c r="R258" s="10" t="s">
        <v>1719</v>
      </c>
      <c r="S258" s="11"/>
      <c r="T258" s="6"/>
      <c r="U258" s="28" t="str">
        <f>HYPERLINK("https://media.infra-m.ru/1876/1876265/cover/1876265.jpg", "Обложка")</f>
        <v>Обложка</v>
      </c>
      <c r="V258" s="28" t="str">
        <f>HYPERLINK("https://znanium.com/catalog/product/1876265", "Ознакомиться")</f>
        <v>Ознакомиться</v>
      </c>
      <c r="W258" s="8" t="s">
        <v>152</v>
      </c>
      <c r="X258" s="6"/>
      <c r="Y258" s="6"/>
      <c r="Z258" s="6"/>
      <c r="AA258" s="6" t="s">
        <v>348</v>
      </c>
    </row>
    <row r="259" spans="1:27" s="4" customFormat="1" ht="51.95" customHeight="1">
      <c r="A259" s="5">
        <v>0</v>
      </c>
      <c r="B259" s="6" t="s">
        <v>1720</v>
      </c>
      <c r="C259" s="7">
        <v>924.9</v>
      </c>
      <c r="D259" s="8" t="s">
        <v>1721</v>
      </c>
      <c r="E259" s="8" t="s">
        <v>1722</v>
      </c>
      <c r="F259" s="8" t="s">
        <v>1723</v>
      </c>
      <c r="G259" s="6" t="s">
        <v>37</v>
      </c>
      <c r="H259" s="6" t="s">
        <v>53</v>
      </c>
      <c r="I259" s="8" t="s">
        <v>54</v>
      </c>
      <c r="J259" s="9">
        <v>1</v>
      </c>
      <c r="K259" s="9">
        <v>288</v>
      </c>
      <c r="L259" s="9">
        <v>2019</v>
      </c>
      <c r="M259" s="8" t="s">
        <v>1724</v>
      </c>
      <c r="N259" s="8" t="s">
        <v>40</v>
      </c>
      <c r="O259" s="8" t="s">
        <v>41</v>
      </c>
      <c r="P259" s="6" t="s">
        <v>42</v>
      </c>
      <c r="Q259" s="8" t="s">
        <v>43</v>
      </c>
      <c r="R259" s="10" t="s">
        <v>370</v>
      </c>
      <c r="S259" s="11" t="s">
        <v>1725</v>
      </c>
      <c r="T259" s="6"/>
      <c r="U259" s="28" t="str">
        <f>HYPERLINK("https://media.infra-m.ru/0991/0991842/cover/991842.jpg", "Обложка")</f>
        <v>Обложка</v>
      </c>
      <c r="V259" s="28" t="str">
        <f>HYPERLINK("https://znanium.com/catalog/product/2122963", "Ознакомиться")</f>
        <v>Ознакомиться</v>
      </c>
      <c r="W259" s="8" t="s">
        <v>46</v>
      </c>
      <c r="X259" s="6"/>
      <c r="Y259" s="6"/>
      <c r="Z259" s="6"/>
      <c r="AA259" s="6" t="s">
        <v>1155</v>
      </c>
    </row>
    <row r="260" spans="1:27" s="4" customFormat="1" ht="51.95" customHeight="1">
      <c r="A260" s="5">
        <v>0</v>
      </c>
      <c r="B260" s="6" t="s">
        <v>1726</v>
      </c>
      <c r="C260" s="13">
        <v>1324</v>
      </c>
      <c r="D260" s="8" t="s">
        <v>1727</v>
      </c>
      <c r="E260" s="8" t="s">
        <v>1728</v>
      </c>
      <c r="F260" s="8" t="s">
        <v>1729</v>
      </c>
      <c r="G260" s="6" t="s">
        <v>52</v>
      </c>
      <c r="H260" s="6" t="s">
        <v>149</v>
      </c>
      <c r="I260" s="8" t="s">
        <v>64</v>
      </c>
      <c r="J260" s="9">
        <v>1</v>
      </c>
      <c r="K260" s="9">
        <v>288</v>
      </c>
      <c r="L260" s="9">
        <v>2024</v>
      </c>
      <c r="M260" s="8" t="s">
        <v>1730</v>
      </c>
      <c r="N260" s="8" t="s">
        <v>40</v>
      </c>
      <c r="O260" s="8" t="s">
        <v>41</v>
      </c>
      <c r="P260" s="6" t="s">
        <v>42</v>
      </c>
      <c r="Q260" s="8" t="s">
        <v>66</v>
      </c>
      <c r="R260" s="10" t="s">
        <v>1731</v>
      </c>
      <c r="S260" s="11" t="s">
        <v>1732</v>
      </c>
      <c r="T260" s="6" t="s">
        <v>117</v>
      </c>
      <c r="U260" s="28" t="str">
        <f>HYPERLINK("https://media.infra-m.ru/2086/2086851/cover/2086851.jpg", "Обложка")</f>
        <v>Обложка</v>
      </c>
      <c r="V260" s="28" t="str">
        <f>HYPERLINK("https://znanium.com/catalog/product/1908342", "Ознакомиться")</f>
        <v>Ознакомиться</v>
      </c>
      <c r="W260" s="8" t="s">
        <v>1020</v>
      </c>
      <c r="X260" s="6"/>
      <c r="Y260" s="6"/>
      <c r="Z260" s="6"/>
      <c r="AA260" s="6" t="s">
        <v>153</v>
      </c>
    </row>
    <row r="261" spans="1:27" s="4" customFormat="1" ht="51.95" customHeight="1">
      <c r="A261" s="5">
        <v>0</v>
      </c>
      <c r="B261" s="6" t="s">
        <v>1733</v>
      </c>
      <c r="C261" s="13">
        <v>1044</v>
      </c>
      <c r="D261" s="8" t="s">
        <v>1734</v>
      </c>
      <c r="E261" s="8" t="s">
        <v>1735</v>
      </c>
      <c r="F261" s="8" t="s">
        <v>1736</v>
      </c>
      <c r="G261" s="6" t="s">
        <v>52</v>
      </c>
      <c r="H261" s="6" t="s">
        <v>38</v>
      </c>
      <c r="I261" s="8"/>
      <c r="J261" s="9">
        <v>1</v>
      </c>
      <c r="K261" s="9">
        <v>200</v>
      </c>
      <c r="L261" s="9">
        <v>2024</v>
      </c>
      <c r="M261" s="8" t="s">
        <v>1737</v>
      </c>
      <c r="N261" s="8" t="s">
        <v>40</v>
      </c>
      <c r="O261" s="8" t="s">
        <v>41</v>
      </c>
      <c r="P261" s="6" t="s">
        <v>86</v>
      </c>
      <c r="Q261" s="8" t="s">
        <v>43</v>
      </c>
      <c r="R261" s="10" t="s">
        <v>1738</v>
      </c>
      <c r="S261" s="11"/>
      <c r="T261" s="6" t="s">
        <v>117</v>
      </c>
      <c r="U261" s="28" t="str">
        <f>HYPERLINK("https://media.infra-m.ru/2118/2118092/cover/2118092.jpg", "Обложка")</f>
        <v>Обложка</v>
      </c>
      <c r="V261" s="28" t="str">
        <f>HYPERLINK("https://znanium.com/catalog/product/1852206", "Ознакомиться")</f>
        <v>Ознакомиться</v>
      </c>
      <c r="W261" s="8" t="s">
        <v>1739</v>
      </c>
      <c r="X261" s="6"/>
      <c r="Y261" s="6"/>
      <c r="Z261" s="6"/>
      <c r="AA261" s="6" t="s">
        <v>78</v>
      </c>
    </row>
    <row r="262" spans="1:27" s="4" customFormat="1" ht="51.95" customHeight="1">
      <c r="A262" s="5">
        <v>0</v>
      </c>
      <c r="B262" s="6" t="s">
        <v>1740</v>
      </c>
      <c r="C262" s="13">
        <v>1264.9000000000001</v>
      </c>
      <c r="D262" s="8" t="s">
        <v>1741</v>
      </c>
      <c r="E262" s="8" t="s">
        <v>1742</v>
      </c>
      <c r="F262" s="8" t="s">
        <v>1743</v>
      </c>
      <c r="G262" s="6" t="s">
        <v>37</v>
      </c>
      <c r="H262" s="6" t="s">
        <v>53</v>
      </c>
      <c r="I262" s="8" t="s">
        <v>75</v>
      </c>
      <c r="J262" s="9">
        <v>1</v>
      </c>
      <c r="K262" s="9">
        <v>304</v>
      </c>
      <c r="L262" s="9">
        <v>2019</v>
      </c>
      <c r="M262" s="8" t="s">
        <v>1744</v>
      </c>
      <c r="N262" s="8" t="s">
        <v>40</v>
      </c>
      <c r="O262" s="8" t="s">
        <v>41</v>
      </c>
      <c r="P262" s="6" t="s">
        <v>42</v>
      </c>
      <c r="Q262" s="8" t="s">
        <v>43</v>
      </c>
      <c r="R262" s="10" t="s">
        <v>1745</v>
      </c>
      <c r="S262" s="11" t="s">
        <v>1746</v>
      </c>
      <c r="T262" s="6"/>
      <c r="U262" s="28" t="str">
        <f>HYPERLINK("https://media.infra-m.ru/1025/1025452/cover/1025452.jpg", "Обложка")</f>
        <v>Обложка</v>
      </c>
      <c r="V262" s="28" t="str">
        <f>HYPERLINK("https://znanium.com/catalog/product/939812", "Ознакомиться")</f>
        <v>Ознакомиться</v>
      </c>
      <c r="W262" s="8" t="s">
        <v>1747</v>
      </c>
      <c r="X262" s="6"/>
      <c r="Y262" s="6"/>
      <c r="Z262" s="6"/>
      <c r="AA262" s="6" t="s">
        <v>120</v>
      </c>
    </row>
    <row r="263" spans="1:27" s="4" customFormat="1" ht="51.95" customHeight="1">
      <c r="A263" s="5">
        <v>0</v>
      </c>
      <c r="B263" s="6" t="s">
        <v>1748</v>
      </c>
      <c r="C263" s="13">
        <v>1777</v>
      </c>
      <c r="D263" s="8" t="s">
        <v>1749</v>
      </c>
      <c r="E263" s="8" t="s">
        <v>1742</v>
      </c>
      <c r="F263" s="8" t="s">
        <v>1743</v>
      </c>
      <c r="G263" s="6" t="s">
        <v>37</v>
      </c>
      <c r="H263" s="6" t="s">
        <v>53</v>
      </c>
      <c r="I263" s="8" t="s">
        <v>64</v>
      </c>
      <c r="J263" s="9">
        <v>1</v>
      </c>
      <c r="K263" s="9">
        <v>304</v>
      </c>
      <c r="L263" s="9">
        <v>2023</v>
      </c>
      <c r="M263" s="8" t="s">
        <v>1750</v>
      </c>
      <c r="N263" s="8" t="s">
        <v>40</v>
      </c>
      <c r="O263" s="8" t="s">
        <v>41</v>
      </c>
      <c r="P263" s="6" t="s">
        <v>42</v>
      </c>
      <c r="Q263" s="8" t="s">
        <v>66</v>
      </c>
      <c r="R263" s="10" t="s">
        <v>439</v>
      </c>
      <c r="S263" s="11" t="s">
        <v>1751</v>
      </c>
      <c r="T263" s="6"/>
      <c r="U263" s="28" t="str">
        <f>HYPERLINK("https://media.infra-m.ru/2021/2021440/cover/2021440.jpg", "Обложка")</f>
        <v>Обложка</v>
      </c>
      <c r="V263" s="28" t="str">
        <f>HYPERLINK("https://znanium.com/catalog/product/961647", "Ознакомиться")</f>
        <v>Ознакомиться</v>
      </c>
      <c r="W263" s="8" t="s">
        <v>1747</v>
      </c>
      <c r="X263" s="6"/>
      <c r="Y263" s="6"/>
      <c r="Z263" s="6" t="s">
        <v>69</v>
      </c>
      <c r="AA263" s="6" t="s">
        <v>226</v>
      </c>
    </row>
    <row r="264" spans="1:27" s="4" customFormat="1" ht="51.95" customHeight="1">
      <c r="A264" s="5">
        <v>0</v>
      </c>
      <c r="B264" s="6" t="s">
        <v>1752</v>
      </c>
      <c r="C264" s="13">
        <v>1520</v>
      </c>
      <c r="D264" s="8" t="s">
        <v>1753</v>
      </c>
      <c r="E264" s="8" t="s">
        <v>1754</v>
      </c>
      <c r="F264" s="8" t="s">
        <v>1755</v>
      </c>
      <c r="G264" s="6" t="s">
        <v>52</v>
      </c>
      <c r="H264" s="6" t="s">
        <v>149</v>
      </c>
      <c r="I264" s="8" t="s">
        <v>54</v>
      </c>
      <c r="J264" s="9">
        <v>1</v>
      </c>
      <c r="K264" s="9">
        <v>336</v>
      </c>
      <c r="L264" s="9">
        <v>2023</v>
      </c>
      <c r="M264" s="8" t="s">
        <v>1756</v>
      </c>
      <c r="N264" s="8" t="s">
        <v>40</v>
      </c>
      <c r="O264" s="8" t="s">
        <v>41</v>
      </c>
      <c r="P264" s="6" t="s">
        <v>161</v>
      </c>
      <c r="Q264" s="8" t="s">
        <v>43</v>
      </c>
      <c r="R264" s="10" t="s">
        <v>1757</v>
      </c>
      <c r="S264" s="11" t="s">
        <v>1758</v>
      </c>
      <c r="T264" s="6"/>
      <c r="U264" s="28" t="str">
        <f>HYPERLINK("https://media.infra-m.ru/1913/1913205/cover/1913205.jpg", "Обложка")</f>
        <v>Обложка</v>
      </c>
      <c r="V264" s="28" t="str">
        <f>HYPERLINK("https://znanium.com/catalog/product/1913205", "Ознакомиться")</f>
        <v>Ознакомиться</v>
      </c>
      <c r="W264" s="8" t="s">
        <v>204</v>
      </c>
      <c r="X264" s="6"/>
      <c r="Y264" s="6"/>
      <c r="Z264" s="6"/>
      <c r="AA264" s="6" t="s">
        <v>108</v>
      </c>
    </row>
    <row r="265" spans="1:27" s="4" customFormat="1" ht="51.95" customHeight="1">
      <c r="A265" s="5">
        <v>0</v>
      </c>
      <c r="B265" s="6" t="s">
        <v>1759</v>
      </c>
      <c r="C265" s="13">
        <v>1514</v>
      </c>
      <c r="D265" s="8" t="s">
        <v>1760</v>
      </c>
      <c r="E265" s="8" t="s">
        <v>1754</v>
      </c>
      <c r="F265" s="8" t="s">
        <v>1755</v>
      </c>
      <c r="G265" s="6" t="s">
        <v>37</v>
      </c>
      <c r="H265" s="6" t="s">
        <v>149</v>
      </c>
      <c r="I265" s="8" t="s">
        <v>64</v>
      </c>
      <c r="J265" s="9">
        <v>1</v>
      </c>
      <c r="K265" s="9">
        <v>335</v>
      </c>
      <c r="L265" s="9">
        <v>2023</v>
      </c>
      <c r="M265" s="8" t="s">
        <v>1761</v>
      </c>
      <c r="N265" s="8" t="s">
        <v>40</v>
      </c>
      <c r="O265" s="8" t="s">
        <v>41</v>
      </c>
      <c r="P265" s="6" t="s">
        <v>42</v>
      </c>
      <c r="Q265" s="8" t="s">
        <v>66</v>
      </c>
      <c r="R265" s="10" t="s">
        <v>1762</v>
      </c>
      <c r="S265" s="11" t="s">
        <v>286</v>
      </c>
      <c r="T265" s="6"/>
      <c r="U265" s="28" t="str">
        <f>HYPERLINK("https://media.infra-m.ru/2045/2045975/cover/2045975.jpg", "Обложка")</f>
        <v>Обложка</v>
      </c>
      <c r="V265" s="28" t="str">
        <f>HYPERLINK("https://znanium.com/catalog/product/1189340", "Ознакомиться")</f>
        <v>Ознакомиться</v>
      </c>
      <c r="W265" s="8" t="s">
        <v>204</v>
      </c>
      <c r="X265" s="6"/>
      <c r="Y265" s="6"/>
      <c r="Z265" s="6" t="s">
        <v>69</v>
      </c>
      <c r="AA265" s="6" t="s">
        <v>253</v>
      </c>
    </row>
    <row r="266" spans="1:27" s="4" customFormat="1" ht="51.95" customHeight="1">
      <c r="A266" s="5">
        <v>0</v>
      </c>
      <c r="B266" s="6" t="s">
        <v>1763</v>
      </c>
      <c r="C266" s="13">
        <v>1220</v>
      </c>
      <c r="D266" s="8" t="s">
        <v>1764</v>
      </c>
      <c r="E266" s="8" t="s">
        <v>1765</v>
      </c>
      <c r="F266" s="8" t="s">
        <v>1766</v>
      </c>
      <c r="G266" s="6" t="s">
        <v>37</v>
      </c>
      <c r="H266" s="6" t="s">
        <v>149</v>
      </c>
      <c r="I266" s="8" t="s">
        <v>64</v>
      </c>
      <c r="J266" s="9">
        <v>1</v>
      </c>
      <c r="K266" s="9">
        <v>320</v>
      </c>
      <c r="L266" s="9">
        <v>2022</v>
      </c>
      <c r="M266" s="8" t="s">
        <v>1767</v>
      </c>
      <c r="N266" s="8" t="s">
        <v>40</v>
      </c>
      <c r="O266" s="8" t="s">
        <v>41</v>
      </c>
      <c r="P266" s="6" t="s">
        <v>42</v>
      </c>
      <c r="Q266" s="8" t="s">
        <v>66</v>
      </c>
      <c r="R266" s="10" t="s">
        <v>1768</v>
      </c>
      <c r="S266" s="11" t="s">
        <v>1769</v>
      </c>
      <c r="T266" s="6"/>
      <c r="U266" s="28" t="str">
        <f>HYPERLINK("https://media.infra-m.ru/1862/1862906/cover/1862906.jpg", "Обложка")</f>
        <v>Обложка</v>
      </c>
      <c r="V266" s="28" t="str">
        <f>HYPERLINK("https://znanium.com/catalog/product/1862906", "Ознакомиться")</f>
        <v>Ознакомиться</v>
      </c>
      <c r="W266" s="8" t="s">
        <v>143</v>
      </c>
      <c r="X266" s="6"/>
      <c r="Y266" s="6"/>
      <c r="Z266" s="6" t="s">
        <v>69</v>
      </c>
      <c r="AA266" s="6" t="s">
        <v>356</v>
      </c>
    </row>
    <row r="267" spans="1:27" s="4" customFormat="1" ht="51.95" customHeight="1">
      <c r="A267" s="5">
        <v>0</v>
      </c>
      <c r="B267" s="6" t="s">
        <v>1770</v>
      </c>
      <c r="C267" s="13">
        <v>1214.9000000000001</v>
      </c>
      <c r="D267" s="8" t="s">
        <v>1771</v>
      </c>
      <c r="E267" s="8" t="s">
        <v>1765</v>
      </c>
      <c r="F267" s="8" t="s">
        <v>1186</v>
      </c>
      <c r="G267" s="6" t="s">
        <v>37</v>
      </c>
      <c r="H267" s="6" t="s">
        <v>149</v>
      </c>
      <c r="I267" s="8" t="s">
        <v>54</v>
      </c>
      <c r="J267" s="9">
        <v>1</v>
      </c>
      <c r="K267" s="9">
        <v>320</v>
      </c>
      <c r="L267" s="9">
        <v>2022</v>
      </c>
      <c r="M267" s="8" t="s">
        <v>1772</v>
      </c>
      <c r="N267" s="8" t="s">
        <v>40</v>
      </c>
      <c r="O267" s="8" t="s">
        <v>41</v>
      </c>
      <c r="P267" s="6" t="s">
        <v>42</v>
      </c>
      <c r="Q267" s="8" t="s">
        <v>43</v>
      </c>
      <c r="R267" s="10" t="s">
        <v>1773</v>
      </c>
      <c r="S267" s="11" t="s">
        <v>1195</v>
      </c>
      <c r="T267" s="6"/>
      <c r="U267" s="28" t="str">
        <f>HYPERLINK("https://media.infra-m.ru/1842/1842562/cover/1842562.jpg", "Обложка")</f>
        <v>Обложка</v>
      </c>
      <c r="V267" s="28" t="str">
        <f>HYPERLINK("https://znanium.com/catalog/product/1842562", "Ознакомиться")</f>
        <v>Ознакомиться</v>
      </c>
      <c r="W267" s="8" t="s">
        <v>143</v>
      </c>
      <c r="X267" s="6"/>
      <c r="Y267" s="6"/>
      <c r="Z267" s="6"/>
      <c r="AA267" s="6" t="s">
        <v>415</v>
      </c>
    </row>
    <row r="268" spans="1:27" s="4" customFormat="1" ht="51.95" customHeight="1">
      <c r="A268" s="5">
        <v>0</v>
      </c>
      <c r="B268" s="6" t="s">
        <v>1774</v>
      </c>
      <c r="C268" s="13">
        <v>1144</v>
      </c>
      <c r="D268" s="8" t="s">
        <v>1775</v>
      </c>
      <c r="E268" s="8" t="s">
        <v>1776</v>
      </c>
      <c r="F268" s="8" t="s">
        <v>1777</v>
      </c>
      <c r="G268" s="6" t="s">
        <v>37</v>
      </c>
      <c r="H268" s="6" t="s">
        <v>113</v>
      </c>
      <c r="I268" s="8" t="s">
        <v>75</v>
      </c>
      <c r="J268" s="9">
        <v>1</v>
      </c>
      <c r="K268" s="9">
        <v>249</v>
      </c>
      <c r="L268" s="9">
        <v>2023</v>
      </c>
      <c r="M268" s="8" t="s">
        <v>1778</v>
      </c>
      <c r="N268" s="8" t="s">
        <v>40</v>
      </c>
      <c r="O268" s="8" t="s">
        <v>41</v>
      </c>
      <c r="P268" s="6" t="s">
        <v>42</v>
      </c>
      <c r="Q268" s="8" t="s">
        <v>43</v>
      </c>
      <c r="R268" s="10" t="s">
        <v>162</v>
      </c>
      <c r="S268" s="11" t="s">
        <v>1779</v>
      </c>
      <c r="T268" s="6" t="s">
        <v>117</v>
      </c>
      <c r="U268" s="28" t="str">
        <f>HYPERLINK("https://media.infra-m.ru/2030/2030871/cover/2030871.jpg", "Обложка")</f>
        <v>Обложка</v>
      </c>
      <c r="V268" s="28" t="str">
        <f>HYPERLINK("https://znanium.com/catalog/product/2125021", "Ознакомиться")</f>
        <v>Ознакомиться</v>
      </c>
      <c r="W268" s="8" t="s">
        <v>857</v>
      </c>
      <c r="X268" s="6"/>
      <c r="Y268" s="6"/>
      <c r="Z268" s="6"/>
      <c r="AA268" s="6" t="s">
        <v>245</v>
      </c>
    </row>
    <row r="269" spans="1:27" s="4" customFormat="1" ht="51.95" customHeight="1">
      <c r="A269" s="5">
        <v>0</v>
      </c>
      <c r="B269" s="6" t="s">
        <v>1780</v>
      </c>
      <c r="C269" s="13">
        <v>2140</v>
      </c>
      <c r="D269" s="8" t="s">
        <v>1781</v>
      </c>
      <c r="E269" s="8" t="s">
        <v>1782</v>
      </c>
      <c r="F269" s="8" t="s">
        <v>1777</v>
      </c>
      <c r="G269" s="6" t="s">
        <v>37</v>
      </c>
      <c r="H269" s="6" t="s">
        <v>113</v>
      </c>
      <c r="I269" s="8" t="s">
        <v>75</v>
      </c>
      <c r="J269" s="9">
        <v>1</v>
      </c>
      <c r="K269" s="9">
        <v>476</v>
      </c>
      <c r="L269" s="9">
        <v>2022</v>
      </c>
      <c r="M269" s="8" t="s">
        <v>1783</v>
      </c>
      <c r="N269" s="8" t="s">
        <v>40</v>
      </c>
      <c r="O269" s="8" t="s">
        <v>41</v>
      </c>
      <c r="P269" s="6" t="s">
        <v>42</v>
      </c>
      <c r="Q269" s="8" t="s">
        <v>43</v>
      </c>
      <c r="R269" s="10" t="s">
        <v>162</v>
      </c>
      <c r="S269" s="11" t="s">
        <v>1784</v>
      </c>
      <c r="T269" s="6"/>
      <c r="U269" s="28" t="str">
        <f>HYPERLINK("https://media.infra-m.ru/0991/0991757/cover/991757.jpg", "Обложка")</f>
        <v>Обложка</v>
      </c>
      <c r="V269" s="28" t="str">
        <f>HYPERLINK("https://znanium.com/catalog/product/991757", "Ознакомиться")</f>
        <v>Ознакомиться</v>
      </c>
      <c r="W269" s="8" t="s">
        <v>857</v>
      </c>
      <c r="X269" s="6"/>
      <c r="Y269" s="6"/>
      <c r="Z269" s="6"/>
      <c r="AA269" s="6" t="s">
        <v>275</v>
      </c>
    </row>
    <row r="270" spans="1:27" s="4" customFormat="1" ht="51.95" customHeight="1">
      <c r="A270" s="5">
        <v>0</v>
      </c>
      <c r="B270" s="6" t="s">
        <v>1785</v>
      </c>
      <c r="C270" s="13">
        <v>1967</v>
      </c>
      <c r="D270" s="8" t="s">
        <v>1786</v>
      </c>
      <c r="E270" s="8" t="s">
        <v>1787</v>
      </c>
      <c r="F270" s="8" t="s">
        <v>426</v>
      </c>
      <c r="G270" s="6" t="s">
        <v>52</v>
      </c>
      <c r="H270" s="6" t="s">
        <v>53</v>
      </c>
      <c r="I270" s="8" t="s">
        <v>64</v>
      </c>
      <c r="J270" s="9">
        <v>1</v>
      </c>
      <c r="K270" s="9">
        <v>336</v>
      </c>
      <c r="L270" s="9">
        <v>2023</v>
      </c>
      <c r="M270" s="8" t="s">
        <v>1788</v>
      </c>
      <c r="N270" s="8" t="s">
        <v>40</v>
      </c>
      <c r="O270" s="8" t="s">
        <v>41</v>
      </c>
      <c r="P270" s="6" t="s">
        <v>42</v>
      </c>
      <c r="Q270" s="8" t="s">
        <v>66</v>
      </c>
      <c r="R270" s="10" t="s">
        <v>116</v>
      </c>
      <c r="S270" s="11" t="s">
        <v>318</v>
      </c>
      <c r="T270" s="6"/>
      <c r="U270" s="28" t="str">
        <f>HYPERLINK("https://media.infra-m.ru/2021/2021441/cover/2021441.jpg", "Обложка")</f>
        <v>Обложка</v>
      </c>
      <c r="V270" s="28" t="str">
        <f>HYPERLINK("https://znanium.com/catalog/product/1216485", "Ознакомиться")</f>
        <v>Ознакомиться</v>
      </c>
      <c r="W270" s="8" t="s">
        <v>430</v>
      </c>
      <c r="X270" s="6"/>
      <c r="Y270" s="6"/>
      <c r="Z270" s="6" t="s">
        <v>69</v>
      </c>
      <c r="AA270" s="6" t="s">
        <v>226</v>
      </c>
    </row>
    <row r="271" spans="1:27" s="4" customFormat="1" ht="51.95" customHeight="1">
      <c r="A271" s="5">
        <v>0</v>
      </c>
      <c r="B271" s="6" t="s">
        <v>1789</v>
      </c>
      <c r="C271" s="13">
        <v>2494</v>
      </c>
      <c r="D271" s="8" t="s">
        <v>1790</v>
      </c>
      <c r="E271" s="8" t="s">
        <v>1791</v>
      </c>
      <c r="F271" s="8" t="s">
        <v>483</v>
      </c>
      <c r="G271" s="6" t="s">
        <v>52</v>
      </c>
      <c r="H271" s="6" t="s">
        <v>113</v>
      </c>
      <c r="I271" s="8"/>
      <c r="J271" s="9">
        <v>1</v>
      </c>
      <c r="K271" s="9">
        <v>517</v>
      </c>
      <c r="L271" s="9">
        <v>2023</v>
      </c>
      <c r="M271" s="8" t="s">
        <v>1792</v>
      </c>
      <c r="N271" s="8" t="s">
        <v>40</v>
      </c>
      <c r="O271" s="8" t="s">
        <v>41</v>
      </c>
      <c r="P271" s="6" t="s">
        <v>42</v>
      </c>
      <c r="Q271" s="8" t="s">
        <v>43</v>
      </c>
      <c r="R271" s="10" t="s">
        <v>1793</v>
      </c>
      <c r="S271" s="11" t="s">
        <v>1794</v>
      </c>
      <c r="T271" s="6" t="s">
        <v>117</v>
      </c>
      <c r="U271" s="28" t="str">
        <f>HYPERLINK("https://media.infra-m.ru/2111/2111935/cover/2111935.jpg", "Обложка")</f>
        <v>Обложка</v>
      </c>
      <c r="V271" s="28" t="str">
        <f>HYPERLINK("https://znanium.com/catalog/product/2111934", "Ознакомиться")</f>
        <v>Ознакомиться</v>
      </c>
      <c r="W271" s="8" t="s">
        <v>204</v>
      </c>
      <c r="X271" s="6"/>
      <c r="Y271" s="6"/>
      <c r="Z271" s="6"/>
      <c r="AA271" s="6" t="s">
        <v>144</v>
      </c>
    </row>
    <row r="272" spans="1:27" s="4" customFormat="1" ht="51.95" customHeight="1">
      <c r="A272" s="5">
        <v>0</v>
      </c>
      <c r="B272" s="6" t="s">
        <v>1795</v>
      </c>
      <c r="C272" s="7">
        <v>774</v>
      </c>
      <c r="D272" s="8" t="s">
        <v>1796</v>
      </c>
      <c r="E272" s="8" t="s">
        <v>1797</v>
      </c>
      <c r="F272" s="8" t="s">
        <v>1798</v>
      </c>
      <c r="G272" s="6" t="s">
        <v>52</v>
      </c>
      <c r="H272" s="6" t="s">
        <v>83</v>
      </c>
      <c r="I272" s="8" t="s">
        <v>84</v>
      </c>
      <c r="J272" s="9">
        <v>1</v>
      </c>
      <c r="K272" s="9">
        <v>167</v>
      </c>
      <c r="L272" s="9">
        <v>2024</v>
      </c>
      <c r="M272" s="8" t="s">
        <v>1799</v>
      </c>
      <c r="N272" s="8" t="s">
        <v>40</v>
      </c>
      <c r="O272" s="8" t="s">
        <v>41</v>
      </c>
      <c r="P272" s="6" t="s">
        <v>42</v>
      </c>
      <c r="Q272" s="8" t="s">
        <v>43</v>
      </c>
      <c r="R272" s="10" t="s">
        <v>1800</v>
      </c>
      <c r="S272" s="11" t="s">
        <v>1801</v>
      </c>
      <c r="T272" s="6"/>
      <c r="U272" s="28" t="str">
        <f>HYPERLINK("https://media.infra-m.ru/2102/2102708/cover/2102708.jpg", "Обложка")</f>
        <v>Обложка</v>
      </c>
      <c r="V272" s="28" t="str">
        <f>HYPERLINK("https://znanium.com/catalog/product/1860435", "Ознакомиться")</f>
        <v>Ознакомиться</v>
      </c>
      <c r="W272" s="8" t="s">
        <v>796</v>
      </c>
      <c r="X272" s="6"/>
      <c r="Y272" s="6"/>
      <c r="Z272" s="6"/>
      <c r="AA272" s="6" t="s">
        <v>804</v>
      </c>
    </row>
    <row r="273" spans="1:27" s="4" customFormat="1" ht="51.95" customHeight="1">
      <c r="A273" s="5">
        <v>0</v>
      </c>
      <c r="B273" s="6" t="s">
        <v>1802</v>
      </c>
      <c r="C273" s="13">
        <v>2234</v>
      </c>
      <c r="D273" s="8" t="s">
        <v>1803</v>
      </c>
      <c r="E273" s="8" t="s">
        <v>1804</v>
      </c>
      <c r="F273" s="8" t="s">
        <v>1805</v>
      </c>
      <c r="G273" s="6" t="s">
        <v>37</v>
      </c>
      <c r="H273" s="6" t="s">
        <v>149</v>
      </c>
      <c r="I273" s="8" t="s">
        <v>75</v>
      </c>
      <c r="J273" s="9">
        <v>1</v>
      </c>
      <c r="K273" s="9">
        <v>496</v>
      </c>
      <c r="L273" s="9">
        <v>2023</v>
      </c>
      <c r="M273" s="8" t="s">
        <v>1806</v>
      </c>
      <c r="N273" s="8" t="s">
        <v>40</v>
      </c>
      <c r="O273" s="8" t="s">
        <v>41</v>
      </c>
      <c r="P273" s="6" t="s">
        <v>42</v>
      </c>
      <c r="Q273" s="8" t="s">
        <v>43</v>
      </c>
      <c r="R273" s="10" t="s">
        <v>1807</v>
      </c>
      <c r="S273" s="11" t="s">
        <v>1808</v>
      </c>
      <c r="T273" s="6" t="s">
        <v>117</v>
      </c>
      <c r="U273" s="28" t="str">
        <f>HYPERLINK("https://media.infra-m.ru/2045/2045990/cover/2045990.jpg", "Обложка")</f>
        <v>Обложка</v>
      </c>
      <c r="V273" s="28" t="str">
        <f>HYPERLINK("https://znanium.com/catalog/product/1044632", "Ознакомиться")</f>
        <v>Ознакомиться</v>
      </c>
      <c r="W273" s="8" t="s">
        <v>1020</v>
      </c>
      <c r="X273" s="6"/>
      <c r="Y273" s="6"/>
      <c r="Z273" s="6" t="s">
        <v>668</v>
      </c>
      <c r="AA273" s="6" t="s">
        <v>253</v>
      </c>
    </row>
    <row r="274" spans="1:27" s="4" customFormat="1" ht="51.95" customHeight="1">
      <c r="A274" s="5">
        <v>0</v>
      </c>
      <c r="B274" s="6" t="s">
        <v>1809</v>
      </c>
      <c r="C274" s="13">
        <v>2230</v>
      </c>
      <c r="D274" s="8" t="s">
        <v>1810</v>
      </c>
      <c r="E274" s="8" t="s">
        <v>1804</v>
      </c>
      <c r="F274" s="8" t="s">
        <v>1811</v>
      </c>
      <c r="G274" s="6" t="s">
        <v>52</v>
      </c>
      <c r="H274" s="6" t="s">
        <v>149</v>
      </c>
      <c r="I274" s="8" t="s">
        <v>64</v>
      </c>
      <c r="J274" s="9">
        <v>1</v>
      </c>
      <c r="K274" s="9">
        <v>496</v>
      </c>
      <c r="L274" s="9">
        <v>2023</v>
      </c>
      <c r="M274" s="8" t="s">
        <v>1812</v>
      </c>
      <c r="N274" s="8" t="s">
        <v>40</v>
      </c>
      <c r="O274" s="8" t="s">
        <v>41</v>
      </c>
      <c r="P274" s="6" t="s">
        <v>42</v>
      </c>
      <c r="Q274" s="8" t="s">
        <v>66</v>
      </c>
      <c r="R274" s="10" t="s">
        <v>1813</v>
      </c>
      <c r="S274" s="11" t="s">
        <v>1814</v>
      </c>
      <c r="T274" s="6" t="s">
        <v>117</v>
      </c>
      <c r="U274" s="28" t="str">
        <f>HYPERLINK("https://media.infra-m.ru/1916/1916203/cover/1916203.jpg", "Обложка")</f>
        <v>Обложка</v>
      </c>
      <c r="V274" s="28" t="str">
        <f>HYPERLINK("https://znanium.com/catalog/product/1916203", "Ознакомиться")</f>
        <v>Ознакомиться</v>
      </c>
      <c r="W274" s="8" t="s">
        <v>1020</v>
      </c>
      <c r="X274" s="6"/>
      <c r="Y274" s="6"/>
      <c r="Z274" s="6"/>
      <c r="AA274" s="6" t="s">
        <v>205</v>
      </c>
    </row>
    <row r="275" spans="1:27" s="4" customFormat="1" ht="51.95" customHeight="1">
      <c r="A275" s="5">
        <v>0</v>
      </c>
      <c r="B275" s="6" t="s">
        <v>1815</v>
      </c>
      <c r="C275" s="13">
        <v>2224</v>
      </c>
      <c r="D275" s="8" t="s">
        <v>1816</v>
      </c>
      <c r="E275" s="8" t="s">
        <v>1817</v>
      </c>
      <c r="F275" s="8" t="s">
        <v>1469</v>
      </c>
      <c r="G275" s="6" t="s">
        <v>37</v>
      </c>
      <c r="H275" s="6" t="s">
        <v>53</v>
      </c>
      <c r="I275" s="8" t="s">
        <v>84</v>
      </c>
      <c r="J275" s="9">
        <v>1</v>
      </c>
      <c r="K275" s="9">
        <v>496</v>
      </c>
      <c r="L275" s="9">
        <v>2024</v>
      </c>
      <c r="M275" s="8" t="s">
        <v>1818</v>
      </c>
      <c r="N275" s="8" t="s">
        <v>40</v>
      </c>
      <c r="O275" s="8" t="s">
        <v>41</v>
      </c>
      <c r="P275" s="6" t="s">
        <v>42</v>
      </c>
      <c r="Q275" s="8" t="s">
        <v>66</v>
      </c>
      <c r="R275" s="10" t="s">
        <v>786</v>
      </c>
      <c r="S275" s="11"/>
      <c r="T275" s="6"/>
      <c r="U275" s="28" t="str">
        <f>HYPERLINK("https://media.infra-m.ru/2056/2056798/cover/2056798.jpg", "Обложка")</f>
        <v>Обложка</v>
      </c>
      <c r="V275" s="12"/>
      <c r="W275" s="8" t="s">
        <v>189</v>
      </c>
      <c r="X275" s="6"/>
      <c r="Y275" s="6"/>
      <c r="Z275" s="6"/>
      <c r="AA275" s="6" t="s">
        <v>153</v>
      </c>
    </row>
    <row r="276" spans="1:27" s="4" customFormat="1" ht="51.95" customHeight="1">
      <c r="A276" s="5">
        <v>0</v>
      </c>
      <c r="B276" s="6" t="s">
        <v>1819</v>
      </c>
      <c r="C276" s="7">
        <v>890</v>
      </c>
      <c r="D276" s="8" t="s">
        <v>1820</v>
      </c>
      <c r="E276" s="8" t="s">
        <v>1821</v>
      </c>
      <c r="F276" s="8" t="s">
        <v>1577</v>
      </c>
      <c r="G276" s="6" t="s">
        <v>74</v>
      </c>
      <c r="H276" s="6" t="s">
        <v>53</v>
      </c>
      <c r="I276" s="8" t="s">
        <v>64</v>
      </c>
      <c r="J276" s="9">
        <v>1</v>
      </c>
      <c r="K276" s="9">
        <v>143</v>
      </c>
      <c r="L276" s="9">
        <v>2023</v>
      </c>
      <c r="M276" s="8" t="s">
        <v>1822</v>
      </c>
      <c r="N276" s="8" t="s">
        <v>40</v>
      </c>
      <c r="O276" s="8" t="s">
        <v>41</v>
      </c>
      <c r="P276" s="6" t="s">
        <v>42</v>
      </c>
      <c r="Q276" s="8" t="s">
        <v>66</v>
      </c>
      <c r="R276" s="10" t="s">
        <v>95</v>
      </c>
      <c r="S276" s="11" t="s">
        <v>1823</v>
      </c>
      <c r="T276" s="6"/>
      <c r="U276" s="28" t="str">
        <f>HYPERLINK("https://media.infra-m.ru/1878/1878382/cover/1878382.jpg", "Обложка")</f>
        <v>Обложка</v>
      </c>
      <c r="V276" s="28" t="str">
        <f>HYPERLINK("https://znanium.com/catalog/product/1878382", "Ознакомиться")</f>
        <v>Ознакомиться</v>
      </c>
      <c r="W276" s="8" t="s">
        <v>1061</v>
      </c>
      <c r="X276" s="6"/>
      <c r="Y276" s="6"/>
      <c r="Z276" s="6" t="s">
        <v>69</v>
      </c>
      <c r="AA276" s="6" t="s">
        <v>253</v>
      </c>
    </row>
    <row r="277" spans="1:27" s="4" customFormat="1" ht="51.95" customHeight="1">
      <c r="A277" s="5">
        <v>0</v>
      </c>
      <c r="B277" s="6" t="s">
        <v>1824</v>
      </c>
      <c r="C277" s="7">
        <v>864.9</v>
      </c>
      <c r="D277" s="8" t="s">
        <v>1825</v>
      </c>
      <c r="E277" s="8" t="s">
        <v>1821</v>
      </c>
      <c r="F277" s="8" t="s">
        <v>1577</v>
      </c>
      <c r="G277" s="6" t="s">
        <v>74</v>
      </c>
      <c r="H277" s="6" t="s">
        <v>53</v>
      </c>
      <c r="I277" s="8" t="s">
        <v>54</v>
      </c>
      <c r="J277" s="9">
        <v>1</v>
      </c>
      <c r="K277" s="9">
        <v>143</v>
      </c>
      <c r="L277" s="9">
        <v>2023</v>
      </c>
      <c r="M277" s="8" t="s">
        <v>1826</v>
      </c>
      <c r="N277" s="8" t="s">
        <v>40</v>
      </c>
      <c r="O277" s="8" t="s">
        <v>41</v>
      </c>
      <c r="P277" s="6" t="s">
        <v>42</v>
      </c>
      <c r="Q277" s="8" t="s">
        <v>43</v>
      </c>
      <c r="R277" s="10" t="s">
        <v>1827</v>
      </c>
      <c r="S277" s="11"/>
      <c r="T277" s="6"/>
      <c r="U277" s="28" t="str">
        <f>HYPERLINK("https://media.infra-m.ru/1906/1906789/cover/1906789.jpg", "Обложка")</f>
        <v>Обложка</v>
      </c>
      <c r="V277" s="28" t="str">
        <f>HYPERLINK("https://znanium.com/catalog/product/1222078", "Ознакомиться")</f>
        <v>Ознакомиться</v>
      </c>
      <c r="W277" s="8" t="s">
        <v>1061</v>
      </c>
      <c r="X277" s="6"/>
      <c r="Y277" s="6"/>
      <c r="Z277" s="6"/>
      <c r="AA277" s="6" t="s">
        <v>78</v>
      </c>
    </row>
    <row r="278" spans="1:27" s="4" customFormat="1" ht="51.95" customHeight="1">
      <c r="A278" s="5">
        <v>0</v>
      </c>
      <c r="B278" s="6" t="s">
        <v>1828</v>
      </c>
      <c r="C278" s="13">
        <v>2360</v>
      </c>
      <c r="D278" s="8" t="s">
        <v>1829</v>
      </c>
      <c r="E278" s="8" t="s">
        <v>1830</v>
      </c>
      <c r="F278" s="8" t="s">
        <v>1831</v>
      </c>
      <c r="G278" s="6" t="s">
        <v>37</v>
      </c>
      <c r="H278" s="6" t="s">
        <v>149</v>
      </c>
      <c r="I278" s="8" t="s">
        <v>84</v>
      </c>
      <c r="J278" s="9">
        <v>1</v>
      </c>
      <c r="K278" s="9">
        <v>512</v>
      </c>
      <c r="L278" s="9">
        <v>2024</v>
      </c>
      <c r="M278" s="8" t="s">
        <v>1832</v>
      </c>
      <c r="N278" s="8" t="s">
        <v>40</v>
      </c>
      <c r="O278" s="8" t="s">
        <v>41</v>
      </c>
      <c r="P278" s="6" t="s">
        <v>42</v>
      </c>
      <c r="Q278" s="8" t="s">
        <v>66</v>
      </c>
      <c r="R278" s="10" t="s">
        <v>1833</v>
      </c>
      <c r="S278" s="11" t="s">
        <v>1834</v>
      </c>
      <c r="T278" s="6" t="s">
        <v>117</v>
      </c>
      <c r="U278" s="28" t="str">
        <f>HYPERLINK("https://media.infra-m.ru/2083/2083383/cover/2083383.jpg", "Обложка")</f>
        <v>Обложка</v>
      </c>
      <c r="V278" s="28" t="str">
        <f>HYPERLINK("https://znanium.com/catalog/product/2083383", "Ознакомиться")</f>
        <v>Ознакомиться</v>
      </c>
      <c r="W278" s="8" t="s">
        <v>1020</v>
      </c>
      <c r="X278" s="6"/>
      <c r="Y278" s="6"/>
      <c r="Z278" s="6"/>
      <c r="AA278" s="6" t="s">
        <v>89</v>
      </c>
    </row>
    <row r="279" spans="1:27" s="4" customFormat="1" ht="51.95" customHeight="1">
      <c r="A279" s="5">
        <v>0</v>
      </c>
      <c r="B279" s="6" t="s">
        <v>1835</v>
      </c>
      <c r="C279" s="13">
        <v>1460</v>
      </c>
      <c r="D279" s="8" t="s">
        <v>1836</v>
      </c>
      <c r="E279" s="8" t="s">
        <v>1837</v>
      </c>
      <c r="F279" s="8" t="s">
        <v>1838</v>
      </c>
      <c r="G279" s="6" t="s">
        <v>52</v>
      </c>
      <c r="H279" s="6" t="s">
        <v>149</v>
      </c>
      <c r="I279" s="8" t="s">
        <v>1839</v>
      </c>
      <c r="J279" s="9">
        <v>1</v>
      </c>
      <c r="K279" s="9">
        <v>325</v>
      </c>
      <c r="L279" s="9">
        <v>2024</v>
      </c>
      <c r="M279" s="8" t="s">
        <v>1840</v>
      </c>
      <c r="N279" s="8" t="s">
        <v>40</v>
      </c>
      <c r="O279" s="8" t="s">
        <v>41</v>
      </c>
      <c r="P279" s="6" t="s">
        <v>42</v>
      </c>
      <c r="Q279" s="8" t="s">
        <v>43</v>
      </c>
      <c r="R279" s="10" t="s">
        <v>1841</v>
      </c>
      <c r="S279" s="11" t="s">
        <v>1842</v>
      </c>
      <c r="T279" s="6" t="s">
        <v>117</v>
      </c>
      <c r="U279" s="28" t="str">
        <f>HYPERLINK("https://media.infra-m.ru/2059/2059558/cover/2059558.jpg", "Обложка")</f>
        <v>Обложка</v>
      </c>
      <c r="V279" s="28" t="str">
        <f>HYPERLINK("https://znanium.com/catalog/product/2059558", "Ознакомиться")</f>
        <v>Ознакомиться</v>
      </c>
      <c r="W279" s="8" t="s">
        <v>204</v>
      </c>
      <c r="X279" s="6"/>
      <c r="Y279" s="6"/>
      <c r="Z279" s="6"/>
      <c r="AA279" s="6" t="s">
        <v>120</v>
      </c>
    </row>
    <row r="280" spans="1:27" s="4" customFormat="1" ht="51.95" customHeight="1">
      <c r="A280" s="5">
        <v>0</v>
      </c>
      <c r="B280" s="6" t="s">
        <v>1843</v>
      </c>
      <c r="C280" s="13">
        <v>1594</v>
      </c>
      <c r="D280" s="8" t="s">
        <v>1844</v>
      </c>
      <c r="E280" s="8" t="s">
        <v>1845</v>
      </c>
      <c r="F280" s="8" t="s">
        <v>1362</v>
      </c>
      <c r="G280" s="6" t="s">
        <v>52</v>
      </c>
      <c r="H280" s="6" t="s">
        <v>53</v>
      </c>
      <c r="I280" s="8" t="s">
        <v>64</v>
      </c>
      <c r="J280" s="9">
        <v>1</v>
      </c>
      <c r="K280" s="9">
        <v>352</v>
      </c>
      <c r="L280" s="9">
        <v>2023</v>
      </c>
      <c r="M280" s="8" t="s">
        <v>1846</v>
      </c>
      <c r="N280" s="8" t="s">
        <v>40</v>
      </c>
      <c r="O280" s="8" t="s">
        <v>41</v>
      </c>
      <c r="P280" s="6" t="s">
        <v>42</v>
      </c>
      <c r="Q280" s="8" t="s">
        <v>66</v>
      </c>
      <c r="R280" s="10" t="s">
        <v>95</v>
      </c>
      <c r="S280" s="11" t="s">
        <v>1847</v>
      </c>
      <c r="T280" s="6"/>
      <c r="U280" s="28" t="str">
        <f>HYPERLINK("https://media.infra-m.ru/1893/1893919/cover/1893919.jpg", "Обложка")</f>
        <v>Обложка</v>
      </c>
      <c r="V280" s="28" t="str">
        <f>HYPERLINK("https://znanium.com/catalog/product/1189341", "Ознакомиться")</f>
        <v>Ознакомиться</v>
      </c>
      <c r="W280" s="8" t="s">
        <v>522</v>
      </c>
      <c r="X280" s="6"/>
      <c r="Y280" s="6"/>
      <c r="Z280" s="6" t="s">
        <v>69</v>
      </c>
      <c r="AA280" s="6" t="s">
        <v>96</v>
      </c>
    </row>
    <row r="281" spans="1:27" s="4" customFormat="1" ht="51.95" customHeight="1">
      <c r="A281" s="5">
        <v>0</v>
      </c>
      <c r="B281" s="6" t="s">
        <v>1848</v>
      </c>
      <c r="C281" s="13">
        <v>1250</v>
      </c>
      <c r="D281" s="8" t="s">
        <v>1849</v>
      </c>
      <c r="E281" s="8" t="s">
        <v>1850</v>
      </c>
      <c r="F281" s="8" t="s">
        <v>1362</v>
      </c>
      <c r="G281" s="6" t="s">
        <v>52</v>
      </c>
      <c r="H281" s="6" t="s">
        <v>113</v>
      </c>
      <c r="I281" s="8" t="s">
        <v>75</v>
      </c>
      <c r="J281" s="9">
        <v>1</v>
      </c>
      <c r="K281" s="9">
        <v>327</v>
      </c>
      <c r="L281" s="9">
        <v>2022</v>
      </c>
      <c r="M281" s="8" t="s">
        <v>1851</v>
      </c>
      <c r="N281" s="8" t="s">
        <v>40</v>
      </c>
      <c r="O281" s="8" t="s">
        <v>41</v>
      </c>
      <c r="P281" s="6" t="s">
        <v>42</v>
      </c>
      <c r="Q281" s="8" t="s">
        <v>43</v>
      </c>
      <c r="R281" s="10" t="s">
        <v>1852</v>
      </c>
      <c r="S281" s="11" t="s">
        <v>1853</v>
      </c>
      <c r="T281" s="6"/>
      <c r="U281" s="28" t="str">
        <f>HYPERLINK("https://media.infra-m.ru/1865/1865598/cover/1865598.jpg", "Обложка")</f>
        <v>Обложка</v>
      </c>
      <c r="V281" s="28" t="str">
        <f>HYPERLINK("https://znanium.com/catalog/product/1865598", "Ознакомиться")</f>
        <v>Ознакомиться</v>
      </c>
      <c r="W281" s="8" t="s">
        <v>522</v>
      </c>
      <c r="X281" s="6"/>
      <c r="Y281" s="6"/>
      <c r="Z281" s="6"/>
      <c r="AA281" s="6" t="s">
        <v>1286</v>
      </c>
    </row>
    <row r="282" spans="1:27" s="4" customFormat="1" ht="51.95" customHeight="1">
      <c r="A282" s="5">
        <v>0</v>
      </c>
      <c r="B282" s="6" t="s">
        <v>1854</v>
      </c>
      <c r="C282" s="13">
        <v>1130</v>
      </c>
      <c r="D282" s="8" t="s">
        <v>1855</v>
      </c>
      <c r="E282" s="8" t="s">
        <v>1845</v>
      </c>
      <c r="F282" s="8" t="s">
        <v>1362</v>
      </c>
      <c r="G282" s="6" t="s">
        <v>52</v>
      </c>
      <c r="H282" s="6" t="s">
        <v>53</v>
      </c>
      <c r="I282" s="8" t="s">
        <v>54</v>
      </c>
      <c r="J282" s="9">
        <v>1</v>
      </c>
      <c r="K282" s="9">
        <v>352</v>
      </c>
      <c r="L282" s="9">
        <v>2019</v>
      </c>
      <c r="M282" s="8" t="s">
        <v>1856</v>
      </c>
      <c r="N282" s="8" t="s">
        <v>40</v>
      </c>
      <c r="O282" s="8" t="s">
        <v>41</v>
      </c>
      <c r="P282" s="6" t="s">
        <v>42</v>
      </c>
      <c r="Q282" s="8" t="s">
        <v>43</v>
      </c>
      <c r="R282" s="10" t="s">
        <v>1852</v>
      </c>
      <c r="S282" s="11" t="s">
        <v>1853</v>
      </c>
      <c r="T282" s="6"/>
      <c r="U282" s="28" t="str">
        <f>HYPERLINK("https://media.infra-m.ru/1025/1025261/cover/1025261.jpg", "Обложка")</f>
        <v>Обложка</v>
      </c>
      <c r="V282" s="28" t="str">
        <f>HYPERLINK("https://znanium.com/catalog/product/1865598", "Ознакомиться")</f>
        <v>Ознакомиться</v>
      </c>
      <c r="W282" s="8" t="s">
        <v>522</v>
      </c>
      <c r="X282" s="6"/>
      <c r="Y282" s="6"/>
      <c r="Z282" s="6"/>
      <c r="AA282" s="6" t="s">
        <v>348</v>
      </c>
    </row>
    <row r="283" spans="1:27" s="4" customFormat="1" ht="51.95" customHeight="1">
      <c r="A283" s="5">
        <v>0</v>
      </c>
      <c r="B283" s="6" t="s">
        <v>1857</v>
      </c>
      <c r="C283" s="7">
        <v>650</v>
      </c>
      <c r="D283" s="8" t="s">
        <v>1858</v>
      </c>
      <c r="E283" s="8" t="s">
        <v>1859</v>
      </c>
      <c r="F283" s="8" t="s">
        <v>1860</v>
      </c>
      <c r="G283" s="6" t="s">
        <v>52</v>
      </c>
      <c r="H283" s="6" t="s">
        <v>113</v>
      </c>
      <c r="I283" s="8" t="s">
        <v>64</v>
      </c>
      <c r="J283" s="9">
        <v>1</v>
      </c>
      <c r="K283" s="9">
        <v>145</v>
      </c>
      <c r="L283" s="9">
        <v>2023</v>
      </c>
      <c r="M283" s="8" t="s">
        <v>1861</v>
      </c>
      <c r="N283" s="8" t="s">
        <v>40</v>
      </c>
      <c r="O283" s="8" t="s">
        <v>41</v>
      </c>
      <c r="P283" s="6" t="s">
        <v>42</v>
      </c>
      <c r="Q283" s="8" t="s">
        <v>66</v>
      </c>
      <c r="R283" s="10" t="s">
        <v>203</v>
      </c>
      <c r="S283" s="11" t="s">
        <v>1862</v>
      </c>
      <c r="T283" s="6"/>
      <c r="U283" s="28" t="str">
        <f>HYPERLINK("https://media.infra-m.ru/1878/1878635/cover/1878635.jpg", "Обложка")</f>
        <v>Обложка</v>
      </c>
      <c r="V283" s="28" t="str">
        <f>HYPERLINK("https://znanium.com/catalog/product/1878635", "Ознакомиться")</f>
        <v>Ознакомиться</v>
      </c>
      <c r="W283" s="8" t="s">
        <v>1863</v>
      </c>
      <c r="X283" s="6"/>
      <c r="Y283" s="6"/>
      <c r="Z283" s="6" t="s">
        <v>69</v>
      </c>
      <c r="AA283" s="6" t="s">
        <v>226</v>
      </c>
    </row>
    <row r="284" spans="1:27" s="4" customFormat="1" ht="51.95" customHeight="1">
      <c r="A284" s="5">
        <v>0</v>
      </c>
      <c r="B284" s="6" t="s">
        <v>1864</v>
      </c>
      <c r="C284" s="7">
        <v>660</v>
      </c>
      <c r="D284" s="8" t="s">
        <v>1865</v>
      </c>
      <c r="E284" s="8" t="s">
        <v>1859</v>
      </c>
      <c r="F284" s="8" t="s">
        <v>1860</v>
      </c>
      <c r="G284" s="6" t="s">
        <v>52</v>
      </c>
      <c r="H284" s="6" t="s">
        <v>113</v>
      </c>
      <c r="I284" s="8" t="s">
        <v>75</v>
      </c>
      <c r="J284" s="9">
        <v>1</v>
      </c>
      <c r="K284" s="9">
        <v>145</v>
      </c>
      <c r="L284" s="9">
        <v>2023</v>
      </c>
      <c r="M284" s="8" t="s">
        <v>1866</v>
      </c>
      <c r="N284" s="8" t="s">
        <v>40</v>
      </c>
      <c r="O284" s="8" t="s">
        <v>41</v>
      </c>
      <c r="P284" s="6" t="s">
        <v>42</v>
      </c>
      <c r="Q284" s="8" t="s">
        <v>43</v>
      </c>
      <c r="R284" s="10" t="s">
        <v>1867</v>
      </c>
      <c r="S284" s="11" t="s">
        <v>1868</v>
      </c>
      <c r="T284" s="6"/>
      <c r="U284" s="28" t="str">
        <f>HYPERLINK("https://media.infra-m.ru/1914/1914008/cover/1914008.jpg", "Обложка")</f>
        <v>Обложка</v>
      </c>
      <c r="V284" s="28" t="str">
        <f>HYPERLINK("https://znanium.com/catalog/product/1914008", "Ознакомиться")</f>
        <v>Ознакомиться</v>
      </c>
      <c r="W284" s="8" t="s">
        <v>1863</v>
      </c>
      <c r="X284" s="6"/>
      <c r="Y284" s="6"/>
      <c r="Z284" s="6"/>
      <c r="AA284" s="6" t="s">
        <v>120</v>
      </c>
    </row>
    <row r="285" spans="1:27" s="4" customFormat="1" ht="51.95" customHeight="1">
      <c r="A285" s="5">
        <v>0</v>
      </c>
      <c r="B285" s="6" t="s">
        <v>1869</v>
      </c>
      <c r="C285" s="7">
        <v>740</v>
      </c>
      <c r="D285" s="8" t="s">
        <v>1870</v>
      </c>
      <c r="E285" s="8" t="s">
        <v>1871</v>
      </c>
      <c r="F285" s="8" t="s">
        <v>1872</v>
      </c>
      <c r="G285" s="6" t="s">
        <v>74</v>
      </c>
      <c r="H285" s="6" t="s">
        <v>113</v>
      </c>
      <c r="I285" s="8" t="s">
        <v>64</v>
      </c>
      <c r="J285" s="9">
        <v>1</v>
      </c>
      <c r="K285" s="9">
        <v>158</v>
      </c>
      <c r="L285" s="9">
        <v>2024</v>
      </c>
      <c r="M285" s="8" t="s">
        <v>1873</v>
      </c>
      <c r="N285" s="8" t="s">
        <v>40</v>
      </c>
      <c r="O285" s="8" t="s">
        <v>41</v>
      </c>
      <c r="P285" s="6" t="s">
        <v>42</v>
      </c>
      <c r="Q285" s="8" t="s">
        <v>66</v>
      </c>
      <c r="R285" s="10" t="s">
        <v>1874</v>
      </c>
      <c r="S285" s="11" t="s">
        <v>1875</v>
      </c>
      <c r="T285" s="6"/>
      <c r="U285" s="28" t="str">
        <f>HYPERLINK("https://media.infra-m.ru/2111/2111926/cover/2111926.jpg", "Обложка")</f>
        <v>Обложка</v>
      </c>
      <c r="V285" s="28" t="str">
        <f>HYPERLINK("https://znanium.com/catalog/product/2111926", "Ознакомиться")</f>
        <v>Ознакомиться</v>
      </c>
      <c r="W285" s="8" t="s">
        <v>107</v>
      </c>
      <c r="X285" s="6"/>
      <c r="Y285" s="6"/>
      <c r="Z285" s="6"/>
      <c r="AA285" s="6" t="s">
        <v>1190</v>
      </c>
    </row>
    <row r="286" spans="1:27" s="4" customFormat="1" ht="51.95" customHeight="1">
      <c r="A286" s="5">
        <v>0</v>
      </c>
      <c r="B286" s="6" t="s">
        <v>1876</v>
      </c>
      <c r="C286" s="7">
        <v>350</v>
      </c>
      <c r="D286" s="8" t="s">
        <v>1877</v>
      </c>
      <c r="E286" s="8" t="s">
        <v>1878</v>
      </c>
      <c r="F286" s="8" t="s">
        <v>1872</v>
      </c>
      <c r="G286" s="6" t="s">
        <v>74</v>
      </c>
      <c r="H286" s="6" t="s">
        <v>113</v>
      </c>
      <c r="I286" s="8" t="s">
        <v>64</v>
      </c>
      <c r="J286" s="9">
        <v>1</v>
      </c>
      <c r="K286" s="9">
        <v>117</v>
      </c>
      <c r="L286" s="9">
        <v>2019</v>
      </c>
      <c r="M286" s="8" t="s">
        <v>1879</v>
      </c>
      <c r="N286" s="8" t="s">
        <v>40</v>
      </c>
      <c r="O286" s="8" t="s">
        <v>41</v>
      </c>
      <c r="P286" s="6" t="s">
        <v>42</v>
      </c>
      <c r="Q286" s="8" t="s">
        <v>66</v>
      </c>
      <c r="R286" s="10" t="s">
        <v>1874</v>
      </c>
      <c r="S286" s="11" t="s">
        <v>1880</v>
      </c>
      <c r="T286" s="6"/>
      <c r="U286" s="28" t="str">
        <f>HYPERLINK("https://media.infra-m.ru/0989/0989894/cover/989894.jpg", "Обложка")</f>
        <v>Обложка</v>
      </c>
      <c r="V286" s="28" t="str">
        <f>HYPERLINK("https://znanium.com/catalog/product/2111926", "Ознакомиться")</f>
        <v>Ознакомиться</v>
      </c>
      <c r="W286" s="8" t="s">
        <v>107</v>
      </c>
      <c r="X286" s="6"/>
      <c r="Y286" s="6"/>
      <c r="Z286" s="6"/>
      <c r="AA286" s="6" t="s">
        <v>89</v>
      </c>
    </row>
    <row r="287" spans="1:27" s="4" customFormat="1" ht="51.95" customHeight="1">
      <c r="A287" s="5">
        <v>0</v>
      </c>
      <c r="B287" s="6" t="s">
        <v>1881</v>
      </c>
      <c r="C287" s="13">
        <v>2014.9</v>
      </c>
      <c r="D287" s="8" t="s">
        <v>1882</v>
      </c>
      <c r="E287" s="8" t="s">
        <v>1883</v>
      </c>
      <c r="F287" s="8" t="s">
        <v>1884</v>
      </c>
      <c r="G287" s="6" t="s">
        <v>37</v>
      </c>
      <c r="H287" s="6" t="s">
        <v>53</v>
      </c>
      <c r="I287" s="8" t="s">
        <v>84</v>
      </c>
      <c r="J287" s="9">
        <v>1</v>
      </c>
      <c r="K287" s="9">
        <v>448</v>
      </c>
      <c r="L287" s="9">
        <v>2023</v>
      </c>
      <c r="M287" s="8" t="s">
        <v>1885</v>
      </c>
      <c r="N287" s="8" t="s">
        <v>40</v>
      </c>
      <c r="O287" s="8" t="s">
        <v>41</v>
      </c>
      <c r="P287" s="6" t="s">
        <v>42</v>
      </c>
      <c r="Q287" s="8" t="s">
        <v>66</v>
      </c>
      <c r="R287" s="10" t="s">
        <v>1886</v>
      </c>
      <c r="S287" s="11" t="s">
        <v>1887</v>
      </c>
      <c r="T287" s="6"/>
      <c r="U287" s="28" t="str">
        <f>HYPERLINK("https://media.infra-m.ru/1911/1911449/cover/1911449.jpg", "Обложка")</f>
        <v>Обложка</v>
      </c>
      <c r="V287" s="28" t="str">
        <f>HYPERLINK("https://znanium.com/catalog/product/1189345", "Ознакомиться")</f>
        <v>Ознакомиться</v>
      </c>
      <c r="W287" s="8" t="s">
        <v>189</v>
      </c>
      <c r="X287" s="6"/>
      <c r="Y287" s="6"/>
      <c r="Z287" s="6"/>
      <c r="AA287" s="6" t="s">
        <v>1888</v>
      </c>
    </row>
    <row r="288" spans="1:27" s="4" customFormat="1" ht="51.95" customHeight="1">
      <c r="A288" s="5">
        <v>0</v>
      </c>
      <c r="B288" s="6" t="s">
        <v>1889</v>
      </c>
      <c r="C288" s="7">
        <v>630</v>
      </c>
      <c r="D288" s="8" t="s">
        <v>1890</v>
      </c>
      <c r="E288" s="8" t="s">
        <v>1891</v>
      </c>
      <c r="F288" s="8" t="s">
        <v>995</v>
      </c>
      <c r="G288" s="6" t="s">
        <v>74</v>
      </c>
      <c r="H288" s="6" t="s">
        <v>83</v>
      </c>
      <c r="I288" s="8" t="s">
        <v>140</v>
      </c>
      <c r="J288" s="9">
        <v>1</v>
      </c>
      <c r="K288" s="9">
        <v>136</v>
      </c>
      <c r="L288" s="9">
        <v>2024</v>
      </c>
      <c r="M288" s="8" t="s">
        <v>1892</v>
      </c>
      <c r="N288" s="8" t="s">
        <v>40</v>
      </c>
      <c r="O288" s="8" t="s">
        <v>41</v>
      </c>
      <c r="P288" s="6" t="s">
        <v>133</v>
      </c>
      <c r="Q288" s="8" t="s">
        <v>125</v>
      </c>
      <c r="R288" s="10" t="s">
        <v>1893</v>
      </c>
      <c r="S288" s="11"/>
      <c r="T288" s="6"/>
      <c r="U288" s="28" t="str">
        <f>HYPERLINK("https://media.infra-m.ru/2081/2081054/cover/2081054.jpg", "Обложка")</f>
        <v>Обложка</v>
      </c>
      <c r="V288" s="28" t="str">
        <f>HYPERLINK("https://znanium.com/catalog/product/404391", "Ознакомиться")</f>
        <v>Ознакомиться</v>
      </c>
      <c r="W288" s="8" t="s">
        <v>796</v>
      </c>
      <c r="X288" s="6"/>
      <c r="Y288" s="6"/>
      <c r="Z288" s="6"/>
      <c r="AA288" s="6" t="s">
        <v>108</v>
      </c>
    </row>
    <row r="289" spans="1:27" s="4" customFormat="1" ht="51.95" customHeight="1">
      <c r="A289" s="5">
        <v>0</v>
      </c>
      <c r="B289" s="6" t="s">
        <v>1894</v>
      </c>
      <c r="C289" s="7">
        <v>824.9</v>
      </c>
      <c r="D289" s="8" t="s">
        <v>1895</v>
      </c>
      <c r="E289" s="8" t="s">
        <v>1896</v>
      </c>
      <c r="F289" s="8" t="s">
        <v>1897</v>
      </c>
      <c r="G289" s="6" t="s">
        <v>52</v>
      </c>
      <c r="H289" s="6" t="s">
        <v>113</v>
      </c>
      <c r="I289" s="8" t="s">
        <v>467</v>
      </c>
      <c r="J289" s="9">
        <v>1</v>
      </c>
      <c r="K289" s="9">
        <v>183</v>
      </c>
      <c r="L289" s="9">
        <v>2023</v>
      </c>
      <c r="M289" s="8" t="s">
        <v>1898</v>
      </c>
      <c r="N289" s="8" t="s">
        <v>40</v>
      </c>
      <c r="O289" s="8" t="s">
        <v>41</v>
      </c>
      <c r="P289" s="6" t="s">
        <v>42</v>
      </c>
      <c r="Q289" s="8" t="s">
        <v>485</v>
      </c>
      <c r="R289" s="10" t="s">
        <v>1899</v>
      </c>
      <c r="S289" s="11" t="s">
        <v>1900</v>
      </c>
      <c r="T289" s="6" t="s">
        <v>117</v>
      </c>
      <c r="U289" s="28" t="str">
        <f>HYPERLINK("https://media.infra-m.ru/1927/1927331/cover/1927331.jpg", "Обложка")</f>
        <v>Обложка</v>
      </c>
      <c r="V289" s="28" t="str">
        <f>HYPERLINK("https://znanium.com/catalog/product/1062026", "Ознакомиться")</f>
        <v>Ознакомиться</v>
      </c>
      <c r="W289" s="8" t="s">
        <v>1168</v>
      </c>
      <c r="X289" s="6"/>
      <c r="Y289" s="6"/>
      <c r="Z289" s="6"/>
      <c r="AA289" s="6" t="s">
        <v>120</v>
      </c>
    </row>
    <row r="290" spans="1:27" s="4" customFormat="1" ht="51.95" customHeight="1">
      <c r="A290" s="5">
        <v>0</v>
      </c>
      <c r="B290" s="6" t="s">
        <v>1901</v>
      </c>
      <c r="C290" s="7">
        <v>794</v>
      </c>
      <c r="D290" s="8" t="s">
        <v>1902</v>
      </c>
      <c r="E290" s="8" t="s">
        <v>1903</v>
      </c>
      <c r="F290" s="8" t="s">
        <v>1904</v>
      </c>
      <c r="G290" s="6" t="s">
        <v>37</v>
      </c>
      <c r="H290" s="6" t="s">
        <v>113</v>
      </c>
      <c r="I290" s="8" t="s">
        <v>75</v>
      </c>
      <c r="J290" s="9">
        <v>1</v>
      </c>
      <c r="K290" s="9">
        <v>174</v>
      </c>
      <c r="L290" s="9">
        <v>2023</v>
      </c>
      <c r="M290" s="8" t="s">
        <v>1905</v>
      </c>
      <c r="N290" s="8" t="s">
        <v>40</v>
      </c>
      <c r="O290" s="8" t="s">
        <v>41</v>
      </c>
      <c r="P290" s="6" t="s">
        <v>42</v>
      </c>
      <c r="Q290" s="8" t="s">
        <v>43</v>
      </c>
      <c r="R290" s="10" t="s">
        <v>1906</v>
      </c>
      <c r="S290" s="11" t="s">
        <v>1907</v>
      </c>
      <c r="T290" s="6"/>
      <c r="U290" s="28" t="str">
        <f>HYPERLINK("https://media.infra-m.ru/2006/2006047/cover/2006047.jpg", "Обложка")</f>
        <v>Обложка</v>
      </c>
      <c r="V290" s="28" t="str">
        <f>HYPERLINK("https://znanium.com/catalog/product/967872", "Ознакомиться")</f>
        <v>Ознакомиться</v>
      </c>
      <c r="W290" s="8" t="s">
        <v>1908</v>
      </c>
      <c r="X290" s="6"/>
      <c r="Y290" s="6"/>
      <c r="Z290" s="6"/>
      <c r="AA290" s="6" t="s">
        <v>253</v>
      </c>
    </row>
    <row r="291" spans="1:27" s="4" customFormat="1" ht="51.95" customHeight="1">
      <c r="A291" s="5">
        <v>0</v>
      </c>
      <c r="B291" s="6" t="s">
        <v>1909</v>
      </c>
      <c r="C291" s="7">
        <v>734</v>
      </c>
      <c r="D291" s="8" t="s">
        <v>1910</v>
      </c>
      <c r="E291" s="8" t="s">
        <v>1911</v>
      </c>
      <c r="F291" s="8" t="s">
        <v>1639</v>
      </c>
      <c r="G291" s="6" t="s">
        <v>37</v>
      </c>
      <c r="H291" s="6" t="s">
        <v>149</v>
      </c>
      <c r="I291" s="8" t="s">
        <v>54</v>
      </c>
      <c r="J291" s="9">
        <v>1</v>
      </c>
      <c r="K291" s="9">
        <v>160</v>
      </c>
      <c r="L291" s="9">
        <v>2024</v>
      </c>
      <c r="M291" s="8" t="s">
        <v>1912</v>
      </c>
      <c r="N291" s="8" t="s">
        <v>40</v>
      </c>
      <c r="O291" s="8" t="s">
        <v>41</v>
      </c>
      <c r="P291" s="6" t="s">
        <v>42</v>
      </c>
      <c r="Q291" s="8" t="s">
        <v>43</v>
      </c>
      <c r="R291" s="10" t="s">
        <v>1913</v>
      </c>
      <c r="S291" s="11" t="s">
        <v>1914</v>
      </c>
      <c r="T291" s="6"/>
      <c r="U291" s="28" t="str">
        <f>HYPERLINK("https://media.infra-m.ru/2073/2073479/cover/2073479.jpg", "Обложка")</f>
        <v>Обложка</v>
      </c>
      <c r="V291" s="28" t="str">
        <f>HYPERLINK("https://znanium.com/catalog/product/1815962", "Ознакомиться")</f>
        <v>Ознакомиться</v>
      </c>
      <c r="W291" s="8" t="s">
        <v>261</v>
      </c>
      <c r="X291" s="6"/>
      <c r="Y291" s="6"/>
      <c r="Z291" s="6"/>
      <c r="AA291" s="6" t="s">
        <v>89</v>
      </c>
    </row>
    <row r="292" spans="1:27" s="4" customFormat="1" ht="51.95" customHeight="1">
      <c r="A292" s="5">
        <v>0</v>
      </c>
      <c r="B292" s="6" t="s">
        <v>1915</v>
      </c>
      <c r="C292" s="7">
        <v>720</v>
      </c>
      <c r="D292" s="8" t="s">
        <v>1916</v>
      </c>
      <c r="E292" s="8" t="s">
        <v>1911</v>
      </c>
      <c r="F292" s="8" t="s">
        <v>257</v>
      </c>
      <c r="G292" s="6" t="s">
        <v>52</v>
      </c>
      <c r="H292" s="6" t="s">
        <v>149</v>
      </c>
      <c r="I292" s="8" t="s">
        <v>64</v>
      </c>
      <c r="J292" s="9">
        <v>1</v>
      </c>
      <c r="K292" s="9">
        <v>160</v>
      </c>
      <c r="L292" s="9">
        <v>2023</v>
      </c>
      <c r="M292" s="8" t="s">
        <v>1917</v>
      </c>
      <c r="N292" s="8" t="s">
        <v>40</v>
      </c>
      <c r="O292" s="8" t="s">
        <v>41</v>
      </c>
      <c r="P292" s="6" t="s">
        <v>42</v>
      </c>
      <c r="Q292" s="8" t="s">
        <v>66</v>
      </c>
      <c r="R292" s="10" t="s">
        <v>116</v>
      </c>
      <c r="S292" s="11" t="s">
        <v>1918</v>
      </c>
      <c r="T292" s="6"/>
      <c r="U292" s="28" t="str">
        <f>HYPERLINK("https://media.infra-m.ru/1926/1926394/cover/1926394.jpg", "Обложка")</f>
        <v>Обложка</v>
      </c>
      <c r="V292" s="28" t="str">
        <f>HYPERLINK("https://znanium.com/catalog/product/1926394", "Ознакомиться")</f>
        <v>Ознакомиться</v>
      </c>
      <c r="W292" s="8" t="s">
        <v>261</v>
      </c>
      <c r="X292" s="6"/>
      <c r="Y292" s="6"/>
      <c r="Z292" s="6" t="s">
        <v>69</v>
      </c>
      <c r="AA292" s="6" t="s">
        <v>120</v>
      </c>
    </row>
    <row r="293" spans="1:27" s="4" customFormat="1" ht="51.95" customHeight="1">
      <c r="A293" s="5">
        <v>0</v>
      </c>
      <c r="B293" s="6" t="s">
        <v>1919</v>
      </c>
      <c r="C293" s="13">
        <v>1610</v>
      </c>
      <c r="D293" s="8" t="s">
        <v>1920</v>
      </c>
      <c r="E293" s="8" t="s">
        <v>1921</v>
      </c>
      <c r="F293" s="8" t="s">
        <v>1922</v>
      </c>
      <c r="G293" s="6" t="s">
        <v>52</v>
      </c>
      <c r="H293" s="6" t="s">
        <v>53</v>
      </c>
      <c r="I293" s="8" t="s">
        <v>75</v>
      </c>
      <c r="J293" s="9">
        <v>1</v>
      </c>
      <c r="K293" s="9">
        <v>357</v>
      </c>
      <c r="L293" s="9">
        <v>2023</v>
      </c>
      <c r="M293" s="8" t="s">
        <v>1923</v>
      </c>
      <c r="N293" s="8" t="s">
        <v>40</v>
      </c>
      <c r="O293" s="8" t="s">
        <v>41</v>
      </c>
      <c r="P293" s="6" t="s">
        <v>42</v>
      </c>
      <c r="Q293" s="8" t="s">
        <v>43</v>
      </c>
      <c r="R293" s="10" t="s">
        <v>1924</v>
      </c>
      <c r="S293" s="11" t="s">
        <v>1925</v>
      </c>
      <c r="T293" s="6"/>
      <c r="U293" s="28" t="str">
        <f>HYPERLINK("https://media.infra-m.ru/2040/2040005/cover/2040005.jpg", "Обложка")</f>
        <v>Обложка</v>
      </c>
      <c r="V293" s="28" t="str">
        <f>HYPERLINK("https://znanium.com/catalog/product/1894610", "Ознакомиться")</f>
        <v>Ознакомиться</v>
      </c>
      <c r="W293" s="8" t="s">
        <v>1926</v>
      </c>
      <c r="X293" s="6"/>
      <c r="Y293" s="6"/>
      <c r="Z293" s="6"/>
      <c r="AA293" s="6" t="s">
        <v>59</v>
      </c>
    </row>
    <row r="294" spans="1:27" s="4" customFormat="1" ht="51.95" customHeight="1">
      <c r="A294" s="5">
        <v>0</v>
      </c>
      <c r="B294" s="6" t="s">
        <v>1927</v>
      </c>
      <c r="C294" s="7">
        <v>940</v>
      </c>
      <c r="D294" s="8" t="s">
        <v>1928</v>
      </c>
      <c r="E294" s="8" t="s">
        <v>1929</v>
      </c>
      <c r="F294" s="8" t="s">
        <v>1922</v>
      </c>
      <c r="G294" s="6" t="s">
        <v>52</v>
      </c>
      <c r="H294" s="6" t="s">
        <v>53</v>
      </c>
      <c r="I294" s="8" t="s">
        <v>54</v>
      </c>
      <c r="J294" s="9">
        <v>1</v>
      </c>
      <c r="K294" s="9">
        <v>320</v>
      </c>
      <c r="L294" s="9">
        <v>2018</v>
      </c>
      <c r="M294" s="8" t="s">
        <v>1930</v>
      </c>
      <c r="N294" s="8" t="s">
        <v>40</v>
      </c>
      <c r="O294" s="8" t="s">
        <v>41</v>
      </c>
      <c r="P294" s="6" t="s">
        <v>42</v>
      </c>
      <c r="Q294" s="8" t="s">
        <v>43</v>
      </c>
      <c r="R294" s="10" t="s">
        <v>1924</v>
      </c>
      <c r="S294" s="11" t="s">
        <v>1931</v>
      </c>
      <c r="T294" s="6"/>
      <c r="U294" s="28" t="str">
        <f>HYPERLINK("https://media.infra-m.ru/0980/0980117/cover/980117.jpg", "Обложка")</f>
        <v>Обложка</v>
      </c>
      <c r="V294" s="28" t="str">
        <f>HYPERLINK("https://znanium.com/catalog/product/1894610", "Ознакомиться")</f>
        <v>Ознакомиться</v>
      </c>
      <c r="W294" s="8" t="s">
        <v>1926</v>
      </c>
      <c r="X294" s="6"/>
      <c r="Y294" s="6"/>
      <c r="Z294" s="6"/>
      <c r="AA294" s="6" t="s">
        <v>89</v>
      </c>
    </row>
    <row r="295" spans="1:27" s="4" customFormat="1" ht="51.95" customHeight="1">
      <c r="A295" s="5">
        <v>0</v>
      </c>
      <c r="B295" s="6" t="s">
        <v>1932</v>
      </c>
      <c r="C295" s="13">
        <v>1524</v>
      </c>
      <c r="D295" s="8" t="s">
        <v>1933</v>
      </c>
      <c r="E295" s="8" t="s">
        <v>1929</v>
      </c>
      <c r="F295" s="8" t="s">
        <v>1212</v>
      </c>
      <c r="G295" s="6" t="s">
        <v>52</v>
      </c>
      <c r="H295" s="6" t="s">
        <v>113</v>
      </c>
      <c r="I295" s="8" t="s">
        <v>75</v>
      </c>
      <c r="J295" s="9">
        <v>1</v>
      </c>
      <c r="K295" s="9">
        <v>331</v>
      </c>
      <c r="L295" s="9">
        <v>2024</v>
      </c>
      <c r="M295" s="8" t="s">
        <v>1934</v>
      </c>
      <c r="N295" s="8" t="s">
        <v>40</v>
      </c>
      <c r="O295" s="8" t="s">
        <v>41</v>
      </c>
      <c r="P295" s="6" t="s">
        <v>42</v>
      </c>
      <c r="Q295" s="8" t="s">
        <v>43</v>
      </c>
      <c r="R295" s="10" t="s">
        <v>1935</v>
      </c>
      <c r="S295" s="11" t="s">
        <v>1936</v>
      </c>
      <c r="T295" s="6"/>
      <c r="U295" s="28" t="str">
        <f>HYPERLINK("https://media.infra-m.ru/2079/2079166/cover/2079166.jpg", "Обложка")</f>
        <v>Обложка</v>
      </c>
      <c r="V295" s="28" t="str">
        <f>HYPERLINK("https://znanium.com/catalog/product/1840494", "Ознакомиться")</f>
        <v>Ознакомиться</v>
      </c>
      <c r="W295" s="8" t="s">
        <v>1216</v>
      </c>
      <c r="X295" s="6"/>
      <c r="Y295" s="6"/>
      <c r="Z295" s="6"/>
      <c r="AA295" s="6" t="s">
        <v>363</v>
      </c>
    </row>
    <row r="296" spans="1:27" s="4" customFormat="1" ht="42" customHeight="1">
      <c r="A296" s="5">
        <v>0</v>
      </c>
      <c r="B296" s="6" t="s">
        <v>1937</v>
      </c>
      <c r="C296" s="13">
        <v>1584</v>
      </c>
      <c r="D296" s="8" t="s">
        <v>1938</v>
      </c>
      <c r="E296" s="8" t="s">
        <v>1939</v>
      </c>
      <c r="F296" s="8" t="s">
        <v>1940</v>
      </c>
      <c r="G296" s="6" t="s">
        <v>52</v>
      </c>
      <c r="H296" s="6" t="s">
        <v>158</v>
      </c>
      <c r="I296" s="8" t="s">
        <v>64</v>
      </c>
      <c r="J296" s="9">
        <v>1</v>
      </c>
      <c r="K296" s="9">
        <v>352</v>
      </c>
      <c r="L296" s="9">
        <v>2023</v>
      </c>
      <c r="M296" s="8" t="s">
        <v>1941</v>
      </c>
      <c r="N296" s="8" t="s">
        <v>40</v>
      </c>
      <c r="O296" s="8" t="s">
        <v>41</v>
      </c>
      <c r="P296" s="6" t="s">
        <v>161</v>
      </c>
      <c r="Q296" s="8" t="s">
        <v>66</v>
      </c>
      <c r="R296" s="10" t="s">
        <v>1942</v>
      </c>
      <c r="S296" s="11"/>
      <c r="T296" s="6"/>
      <c r="U296" s="28" t="str">
        <f>HYPERLINK("https://media.infra-m.ru/2001/2001626/cover/2001626.jpg", "Обложка")</f>
        <v>Обложка</v>
      </c>
      <c r="V296" s="28" t="str">
        <f>HYPERLINK("https://znanium.com/catalog/product/1495622", "Ознакомиться")</f>
        <v>Ознакомиться</v>
      </c>
      <c r="W296" s="8" t="s">
        <v>164</v>
      </c>
      <c r="X296" s="6"/>
      <c r="Y296" s="6" t="s">
        <v>30</v>
      </c>
      <c r="Z296" s="6"/>
      <c r="AA296" s="6" t="s">
        <v>144</v>
      </c>
    </row>
    <row r="297" spans="1:27" s="4" customFormat="1" ht="51.95" customHeight="1">
      <c r="A297" s="5">
        <v>0</v>
      </c>
      <c r="B297" s="6" t="s">
        <v>1943</v>
      </c>
      <c r="C297" s="7">
        <v>644.9</v>
      </c>
      <c r="D297" s="8" t="s">
        <v>1944</v>
      </c>
      <c r="E297" s="8" t="s">
        <v>1945</v>
      </c>
      <c r="F297" s="8" t="s">
        <v>1946</v>
      </c>
      <c r="G297" s="6" t="s">
        <v>37</v>
      </c>
      <c r="H297" s="6" t="s">
        <v>113</v>
      </c>
      <c r="I297" s="8" t="s">
        <v>140</v>
      </c>
      <c r="J297" s="9">
        <v>1</v>
      </c>
      <c r="K297" s="9">
        <v>184</v>
      </c>
      <c r="L297" s="9">
        <v>2020</v>
      </c>
      <c r="M297" s="8" t="s">
        <v>1947</v>
      </c>
      <c r="N297" s="8" t="s">
        <v>40</v>
      </c>
      <c r="O297" s="8" t="s">
        <v>41</v>
      </c>
      <c r="P297" s="6" t="s">
        <v>133</v>
      </c>
      <c r="Q297" s="8" t="s">
        <v>125</v>
      </c>
      <c r="R297" s="10" t="s">
        <v>1948</v>
      </c>
      <c r="S297" s="11"/>
      <c r="T297" s="6"/>
      <c r="U297" s="28" t="str">
        <f>HYPERLINK("https://media.infra-m.ru/1047/1047113/cover/1047113.jpg", "Обложка")</f>
        <v>Обложка</v>
      </c>
      <c r="V297" s="28" t="str">
        <f>HYPERLINK("https://znanium.com/catalog/product/1047113", "Ознакомиться")</f>
        <v>Ознакомиться</v>
      </c>
      <c r="W297" s="8" t="s">
        <v>1949</v>
      </c>
      <c r="X297" s="6"/>
      <c r="Y297" s="6"/>
      <c r="Z297" s="6"/>
      <c r="AA297" s="6" t="s">
        <v>144</v>
      </c>
    </row>
    <row r="298" spans="1:27" s="4" customFormat="1" ht="51.95" customHeight="1">
      <c r="A298" s="5">
        <v>0</v>
      </c>
      <c r="B298" s="6" t="s">
        <v>1950</v>
      </c>
      <c r="C298" s="13">
        <v>1040</v>
      </c>
      <c r="D298" s="8" t="s">
        <v>1951</v>
      </c>
      <c r="E298" s="8" t="s">
        <v>1952</v>
      </c>
      <c r="F298" s="8" t="s">
        <v>1953</v>
      </c>
      <c r="G298" s="6" t="s">
        <v>52</v>
      </c>
      <c r="H298" s="6" t="s">
        <v>53</v>
      </c>
      <c r="I298" s="8" t="s">
        <v>84</v>
      </c>
      <c r="J298" s="9">
        <v>1</v>
      </c>
      <c r="K298" s="9">
        <v>224</v>
      </c>
      <c r="L298" s="9">
        <v>2023</v>
      </c>
      <c r="M298" s="8" t="s">
        <v>1954</v>
      </c>
      <c r="N298" s="8" t="s">
        <v>40</v>
      </c>
      <c r="O298" s="8" t="s">
        <v>41</v>
      </c>
      <c r="P298" s="6" t="s">
        <v>161</v>
      </c>
      <c r="Q298" s="8" t="s">
        <v>66</v>
      </c>
      <c r="R298" s="10" t="s">
        <v>1955</v>
      </c>
      <c r="S298" s="11" t="s">
        <v>1956</v>
      </c>
      <c r="T298" s="6"/>
      <c r="U298" s="28" t="str">
        <f>HYPERLINK("https://media.infra-m.ru/1912/1912099/cover/1912099.jpg", "Обложка")</f>
        <v>Обложка</v>
      </c>
      <c r="V298" s="28" t="str">
        <f>HYPERLINK("https://znanium.com/catalog/product/1912099", "Ознакомиться")</f>
        <v>Ознакомиться</v>
      </c>
      <c r="W298" s="8" t="s">
        <v>1061</v>
      </c>
      <c r="X298" s="6"/>
      <c r="Y298" s="6"/>
      <c r="Z298" s="6"/>
      <c r="AA298" s="6" t="s">
        <v>325</v>
      </c>
    </row>
    <row r="299" spans="1:27" s="4" customFormat="1" ht="51.95" customHeight="1">
      <c r="A299" s="5">
        <v>0</v>
      </c>
      <c r="B299" s="6" t="s">
        <v>1957</v>
      </c>
      <c r="C299" s="13">
        <v>1410</v>
      </c>
      <c r="D299" s="8" t="s">
        <v>1958</v>
      </c>
      <c r="E299" s="8" t="s">
        <v>1959</v>
      </c>
      <c r="F299" s="8" t="s">
        <v>36</v>
      </c>
      <c r="G299" s="6" t="s">
        <v>52</v>
      </c>
      <c r="H299" s="6" t="s">
        <v>113</v>
      </c>
      <c r="I299" s="8" t="s">
        <v>377</v>
      </c>
      <c r="J299" s="9">
        <v>1</v>
      </c>
      <c r="K299" s="9">
        <v>305</v>
      </c>
      <c r="L299" s="9">
        <v>2024</v>
      </c>
      <c r="M299" s="8" t="s">
        <v>1960</v>
      </c>
      <c r="N299" s="8" t="s">
        <v>40</v>
      </c>
      <c r="O299" s="8" t="s">
        <v>41</v>
      </c>
      <c r="P299" s="6" t="s">
        <v>42</v>
      </c>
      <c r="Q299" s="8" t="s">
        <v>43</v>
      </c>
      <c r="R299" s="10" t="s">
        <v>44</v>
      </c>
      <c r="S299" s="11" t="s">
        <v>1961</v>
      </c>
      <c r="T299" s="6" t="s">
        <v>117</v>
      </c>
      <c r="U299" s="28" t="str">
        <f>HYPERLINK("https://media.infra-m.ru/2080/2080466/cover/2080466.jpg", "Обложка")</f>
        <v>Обложка</v>
      </c>
      <c r="V299" s="28" t="str">
        <f>HYPERLINK("https://znanium.com/catalog/product/2080466", "Ознакомиться")</f>
        <v>Ознакомиться</v>
      </c>
      <c r="W299" s="8" t="s">
        <v>46</v>
      </c>
      <c r="X299" s="6"/>
      <c r="Y299" s="6"/>
      <c r="Z299" s="6"/>
      <c r="AA299" s="6" t="s">
        <v>880</v>
      </c>
    </row>
    <row r="300" spans="1:27" s="4" customFormat="1" ht="51.95" customHeight="1">
      <c r="A300" s="5">
        <v>0</v>
      </c>
      <c r="B300" s="6" t="s">
        <v>1962</v>
      </c>
      <c r="C300" s="13">
        <v>1380</v>
      </c>
      <c r="D300" s="8" t="s">
        <v>1963</v>
      </c>
      <c r="E300" s="8" t="s">
        <v>1964</v>
      </c>
      <c r="F300" s="8" t="s">
        <v>36</v>
      </c>
      <c r="G300" s="6" t="s">
        <v>52</v>
      </c>
      <c r="H300" s="6" t="s">
        <v>113</v>
      </c>
      <c r="I300" s="8" t="s">
        <v>64</v>
      </c>
      <c r="J300" s="9">
        <v>1</v>
      </c>
      <c r="K300" s="9">
        <v>305</v>
      </c>
      <c r="L300" s="9">
        <v>2023</v>
      </c>
      <c r="M300" s="8" t="s">
        <v>1965</v>
      </c>
      <c r="N300" s="8" t="s">
        <v>40</v>
      </c>
      <c r="O300" s="8" t="s">
        <v>41</v>
      </c>
      <c r="P300" s="6" t="s">
        <v>42</v>
      </c>
      <c r="Q300" s="8" t="s">
        <v>66</v>
      </c>
      <c r="R300" s="10" t="s">
        <v>1966</v>
      </c>
      <c r="S300" s="11" t="s">
        <v>1967</v>
      </c>
      <c r="T300" s="6" t="s">
        <v>117</v>
      </c>
      <c r="U300" s="28" t="str">
        <f>HYPERLINK("https://media.infra-m.ru/1981/1981642/cover/1981642.jpg", "Обложка")</f>
        <v>Обложка</v>
      </c>
      <c r="V300" s="28" t="str">
        <f>HYPERLINK("https://znanium.com/catalog/product/1981642", "Ознакомиться")</f>
        <v>Ознакомиться</v>
      </c>
      <c r="W300" s="8" t="s">
        <v>46</v>
      </c>
      <c r="X300" s="6"/>
      <c r="Y300" s="6"/>
      <c r="Z300" s="6" t="s">
        <v>69</v>
      </c>
      <c r="AA300" s="6" t="s">
        <v>245</v>
      </c>
    </row>
    <row r="301" spans="1:27" s="4" customFormat="1" ht="51.95" customHeight="1">
      <c r="A301" s="5">
        <v>0</v>
      </c>
      <c r="B301" s="6" t="s">
        <v>1968</v>
      </c>
      <c r="C301" s="13">
        <v>1390</v>
      </c>
      <c r="D301" s="8" t="s">
        <v>1969</v>
      </c>
      <c r="E301" s="8" t="s">
        <v>1970</v>
      </c>
      <c r="F301" s="8" t="s">
        <v>1971</v>
      </c>
      <c r="G301" s="6" t="s">
        <v>52</v>
      </c>
      <c r="H301" s="6" t="s">
        <v>149</v>
      </c>
      <c r="I301" s="8" t="s">
        <v>64</v>
      </c>
      <c r="J301" s="9">
        <v>1</v>
      </c>
      <c r="K301" s="9">
        <v>384</v>
      </c>
      <c r="L301" s="9">
        <v>2021</v>
      </c>
      <c r="M301" s="8" t="s">
        <v>1972</v>
      </c>
      <c r="N301" s="8" t="s">
        <v>40</v>
      </c>
      <c r="O301" s="8" t="s">
        <v>41</v>
      </c>
      <c r="P301" s="6" t="s">
        <v>42</v>
      </c>
      <c r="Q301" s="8" t="s">
        <v>66</v>
      </c>
      <c r="R301" s="10" t="s">
        <v>1973</v>
      </c>
      <c r="S301" s="11" t="s">
        <v>1974</v>
      </c>
      <c r="T301" s="6"/>
      <c r="U301" s="28" t="str">
        <f>HYPERLINK("https://media.infra-m.ru/1214/1214882/cover/1214882.jpg", "Обложка")</f>
        <v>Обложка</v>
      </c>
      <c r="V301" s="28" t="str">
        <f>HYPERLINK("https://znanium.com/catalog/product/1214882", "Ознакомиться")</f>
        <v>Ознакомиться</v>
      </c>
      <c r="W301" s="8" t="s">
        <v>204</v>
      </c>
      <c r="X301" s="6"/>
      <c r="Y301" s="6"/>
      <c r="Z301" s="6"/>
      <c r="AA301" s="6" t="s">
        <v>1975</v>
      </c>
    </row>
    <row r="302" spans="1:27" s="4" customFormat="1" ht="51.95" customHeight="1">
      <c r="A302" s="5">
        <v>0</v>
      </c>
      <c r="B302" s="6" t="s">
        <v>1976</v>
      </c>
      <c r="C302" s="7">
        <v>790</v>
      </c>
      <c r="D302" s="8" t="s">
        <v>1977</v>
      </c>
      <c r="E302" s="8" t="s">
        <v>1978</v>
      </c>
      <c r="F302" s="8" t="s">
        <v>651</v>
      </c>
      <c r="G302" s="6" t="s">
        <v>37</v>
      </c>
      <c r="H302" s="6" t="s">
        <v>113</v>
      </c>
      <c r="I302" s="8" t="s">
        <v>64</v>
      </c>
      <c r="J302" s="9">
        <v>1</v>
      </c>
      <c r="K302" s="9">
        <v>178</v>
      </c>
      <c r="L302" s="9">
        <v>2022</v>
      </c>
      <c r="M302" s="8" t="s">
        <v>1979</v>
      </c>
      <c r="N302" s="8" t="s">
        <v>40</v>
      </c>
      <c r="O302" s="8" t="s">
        <v>41</v>
      </c>
      <c r="P302" s="6" t="s">
        <v>42</v>
      </c>
      <c r="Q302" s="8" t="s">
        <v>66</v>
      </c>
      <c r="R302" s="10" t="s">
        <v>387</v>
      </c>
      <c r="S302" s="11" t="s">
        <v>1980</v>
      </c>
      <c r="T302" s="6"/>
      <c r="U302" s="28" t="str">
        <f>HYPERLINK("https://media.infra-m.ru/1853/1853495/cover/1853495.jpg", "Обложка")</f>
        <v>Обложка</v>
      </c>
      <c r="V302" s="28" t="str">
        <f>HYPERLINK("https://znanium.com/catalog/product/1853495", "Ознакомиться")</f>
        <v>Ознакомиться</v>
      </c>
      <c r="W302" s="8" t="s">
        <v>655</v>
      </c>
      <c r="X302" s="6"/>
      <c r="Y302" s="6"/>
      <c r="Z302" s="6"/>
      <c r="AA302" s="6" t="s">
        <v>275</v>
      </c>
    </row>
    <row r="303" spans="1:27" s="4" customFormat="1" ht="51.95" customHeight="1">
      <c r="A303" s="5">
        <v>0</v>
      </c>
      <c r="B303" s="6" t="s">
        <v>1981</v>
      </c>
      <c r="C303" s="13">
        <v>1550</v>
      </c>
      <c r="D303" s="8" t="s">
        <v>1982</v>
      </c>
      <c r="E303" s="8" t="s">
        <v>1983</v>
      </c>
      <c r="F303" s="8" t="s">
        <v>1984</v>
      </c>
      <c r="G303" s="6" t="s">
        <v>52</v>
      </c>
      <c r="H303" s="6" t="s">
        <v>158</v>
      </c>
      <c r="I303" s="8" t="s">
        <v>64</v>
      </c>
      <c r="J303" s="9">
        <v>1</v>
      </c>
      <c r="K303" s="9">
        <v>336</v>
      </c>
      <c r="L303" s="9">
        <v>2024</v>
      </c>
      <c r="M303" s="8" t="s">
        <v>1985</v>
      </c>
      <c r="N303" s="8" t="s">
        <v>40</v>
      </c>
      <c r="O303" s="8" t="s">
        <v>41</v>
      </c>
      <c r="P303" s="6" t="s">
        <v>42</v>
      </c>
      <c r="Q303" s="8" t="s">
        <v>66</v>
      </c>
      <c r="R303" s="10" t="s">
        <v>685</v>
      </c>
      <c r="S303" s="11" t="s">
        <v>1986</v>
      </c>
      <c r="T303" s="6"/>
      <c r="U303" s="28" t="str">
        <f>HYPERLINK("https://media.infra-m.ru/2083/2083407/cover/2083407.jpg", "Обложка")</f>
        <v>Обложка</v>
      </c>
      <c r="V303" s="28" t="str">
        <f>HYPERLINK("https://znanium.com/catalog/product/1896457", "Ознакомиться")</f>
        <v>Ознакомиться</v>
      </c>
      <c r="W303" s="8" t="s">
        <v>1987</v>
      </c>
      <c r="X303" s="6"/>
      <c r="Y303" s="6" t="s">
        <v>30</v>
      </c>
      <c r="Z303" s="6"/>
      <c r="AA303" s="6" t="s">
        <v>165</v>
      </c>
    </row>
    <row r="304" spans="1:27" s="4" customFormat="1" ht="51.95" customHeight="1">
      <c r="A304" s="5">
        <v>0</v>
      </c>
      <c r="B304" s="6" t="s">
        <v>1988</v>
      </c>
      <c r="C304" s="13">
        <v>1814.9</v>
      </c>
      <c r="D304" s="8" t="s">
        <v>1989</v>
      </c>
      <c r="E304" s="8" t="s">
        <v>1990</v>
      </c>
      <c r="F304" s="8" t="s">
        <v>1991</v>
      </c>
      <c r="G304" s="6" t="s">
        <v>37</v>
      </c>
      <c r="H304" s="6" t="s">
        <v>113</v>
      </c>
      <c r="I304" s="8" t="s">
        <v>75</v>
      </c>
      <c r="J304" s="9">
        <v>1</v>
      </c>
      <c r="K304" s="9">
        <v>404</v>
      </c>
      <c r="L304" s="9">
        <v>2023</v>
      </c>
      <c r="M304" s="8" t="s">
        <v>1992</v>
      </c>
      <c r="N304" s="8" t="s">
        <v>40</v>
      </c>
      <c r="O304" s="8" t="s">
        <v>41</v>
      </c>
      <c r="P304" s="6" t="s">
        <v>161</v>
      </c>
      <c r="Q304" s="8" t="s">
        <v>43</v>
      </c>
      <c r="R304" s="10" t="s">
        <v>1993</v>
      </c>
      <c r="S304" s="11" t="s">
        <v>1994</v>
      </c>
      <c r="T304" s="6"/>
      <c r="U304" s="28" t="str">
        <f>HYPERLINK("https://media.infra-m.ru/2001/2001668/cover/2001668.jpg", "Обложка")</f>
        <v>Обложка</v>
      </c>
      <c r="V304" s="28" t="str">
        <f>HYPERLINK("https://znanium.com/catalog/product/1815961", "Ознакомиться")</f>
        <v>Ознакомиться</v>
      </c>
      <c r="W304" s="8" t="s">
        <v>1995</v>
      </c>
      <c r="X304" s="6"/>
      <c r="Y304" s="6"/>
      <c r="Z304" s="6"/>
      <c r="AA304" s="6" t="s">
        <v>144</v>
      </c>
    </row>
    <row r="305" spans="1:27" s="4" customFormat="1" ht="51.95" customHeight="1">
      <c r="A305" s="5">
        <v>0</v>
      </c>
      <c r="B305" s="6" t="s">
        <v>1996</v>
      </c>
      <c r="C305" s="7">
        <v>970</v>
      </c>
      <c r="D305" s="8" t="s">
        <v>1997</v>
      </c>
      <c r="E305" s="8" t="s">
        <v>1998</v>
      </c>
      <c r="F305" s="8" t="s">
        <v>1999</v>
      </c>
      <c r="G305" s="6" t="s">
        <v>52</v>
      </c>
      <c r="H305" s="6" t="s">
        <v>149</v>
      </c>
      <c r="I305" s="8" t="s">
        <v>379</v>
      </c>
      <c r="J305" s="9">
        <v>1</v>
      </c>
      <c r="K305" s="9">
        <v>255</v>
      </c>
      <c r="L305" s="9">
        <v>2022</v>
      </c>
      <c r="M305" s="8" t="s">
        <v>2000</v>
      </c>
      <c r="N305" s="8" t="s">
        <v>40</v>
      </c>
      <c r="O305" s="8" t="s">
        <v>41</v>
      </c>
      <c r="P305" s="6" t="s">
        <v>42</v>
      </c>
      <c r="Q305" s="8" t="s">
        <v>66</v>
      </c>
      <c r="R305" s="10" t="s">
        <v>2001</v>
      </c>
      <c r="S305" s="11" t="s">
        <v>1732</v>
      </c>
      <c r="T305" s="6"/>
      <c r="U305" s="28" t="str">
        <f>HYPERLINK("https://media.infra-m.ru/1841/1841781/cover/1841781.jpg", "Обложка")</f>
        <v>Обложка</v>
      </c>
      <c r="V305" s="28" t="str">
        <f>HYPERLINK("https://znanium.com/catalog/product/1841781", "Ознакомиться")</f>
        <v>Ознакомиться</v>
      </c>
      <c r="W305" s="8" t="s">
        <v>204</v>
      </c>
      <c r="X305" s="6"/>
      <c r="Y305" s="6"/>
      <c r="Z305" s="6"/>
      <c r="AA305" s="6" t="s">
        <v>1975</v>
      </c>
    </row>
    <row r="306" spans="1:27" s="4" customFormat="1" ht="44.1" customHeight="1">
      <c r="A306" s="5">
        <v>0</v>
      </c>
      <c r="B306" s="6" t="s">
        <v>2002</v>
      </c>
      <c r="C306" s="13">
        <v>1040</v>
      </c>
      <c r="D306" s="8" t="s">
        <v>2003</v>
      </c>
      <c r="E306" s="8" t="s">
        <v>2004</v>
      </c>
      <c r="F306" s="8" t="s">
        <v>2005</v>
      </c>
      <c r="G306" s="6" t="s">
        <v>52</v>
      </c>
      <c r="H306" s="6" t="s">
        <v>113</v>
      </c>
      <c r="I306" s="8" t="s">
        <v>2006</v>
      </c>
      <c r="J306" s="9">
        <v>1</v>
      </c>
      <c r="K306" s="9">
        <v>224</v>
      </c>
      <c r="L306" s="9">
        <v>2023</v>
      </c>
      <c r="M306" s="8" t="s">
        <v>2007</v>
      </c>
      <c r="N306" s="8" t="s">
        <v>40</v>
      </c>
      <c r="O306" s="8" t="s">
        <v>41</v>
      </c>
      <c r="P306" s="6" t="s">
        <v>42</v>
      </c>
      <c r="Q306" s="8" t="s">
        <v>379</v>
      </c>
      <c r="R306" s="10" t="s">
        <v>162</v>
      </c>
      <c r="S306" s="11"/>
      <c r="T306" s="6"/>
      <c r="U306" s="28" t="str">
        <f>HYPERLINK("https://media.infra-m.ru/1965/1965758/cover/1965758.jpg", "Обложка")</f>
        <v>Обложка</v>
      </c>
      <c r="V306" s="28" t="str">
        <f>HYPERLINK("https://znanium.com/catalog/product/1965758", "Ознакомиться")</f>
        <v>Ознакомиться</v>
      </c>
      <c r="W306" s="8" t="s">
        <v>2008</v>
      </c>
      <c r="X306" s="6"/>
      <c r="Y306" s="6"/>
      <c r="Z306" s="6"/>
      <c r="AA306" s="6" t="s">
        <v>226</v>
      </c>
    </row>
    <row r="307" spans="1:27" s="4" customFormat="1" ht="51.95" customHeight="1">
      <c r="A307" s="5">
        <v>0</v>
      </c>
      <c r="B307" s="6" t="s">
        <v>2009</v>
      </c>
      <c r="C307" s="7">
        <v>944.9</v>
      </c>
      <c r="D307" s="8" t="s">
        <v>2010</v>
      </c>
      <c r="E307" s="8" t="s">
        <v>2011</v>
      </c>
      <c r="F307" s="8" t="s">
        <v>2012</v>
      </c>
      <c r="G307" s="6" t="s">
        <v>37</v>
      </c>
      <c r="H307" s="6" t="s">
        <v>113</v>
      </c>
      <c r="I307" s="8" t="s">
        <v>2013</v>
      </c>
      <c r="J307" s="9">
        <v>1</v>
      </c>
      <c r="K307" s="9">
        <v>279</v>
      </c>
      <c r="L307" s="9">
        <v>2019</v>
      </c>
      <c r="M307" s="8" t="s">
        <v>2014</v>
      </c>
      <c r="N307" s="8" t="s">
        <v>40</v>
      </c>
      <c r="O307" s="8" t="s">
        <v>41</v>
      </c>
      <c r="P307" s="6" t="s">
        <v>42</v>
      </c>
      <c r="Q307" s="8" t="s">
        <v>125</v>
      </c>
      <c r="R307" s="10" t="s">
        <v>2015</v>
      </c>
      <c r="S307" s="11" t="s">
        <v>2016</v>
      </c>
      <c r="T307" s="6" t="s">
        <v>117</v>
      </c>
      <c r="U307" s="28" t="str">
        <f>HYPERLINK("https://media.infra-m.ru/1032/1032203/cover/1032203.jpg", "Обложка")</f>
        <v>Обложка</v>
      </c>
      <c r="V307" s="28" t="str">
        <f>HYPERLINK("https://znanium.com/catalog/product/1073931", "Ознакомиться")</f>
        <v>Ознакомиться</v>
      </c>
      <c r="W307" s="8" t="s">
        <v>88</v>
      </c>
      <c r="X307" s="6"/>
      <c r="Y307" s="6"/>
      <c r="Z307" s="6"/>
      <c r="AA307" s="6" t="s">
        <v>47</v>
      </c>
    </row>
    <row r="308" spans="1:27" s="4" customFormat="1" ht="51.95" customHeight="1">
      <c r="A308" s="5">
        <v>0</v>
      </c>
      <c r="B308" s="6" t="s">
        <v>2017</v>
      </c>
      <c r="C308" s="13">
        <v>1154.9000000000001</v>
      </c>
      <c r="D308" s="8" t="s">
        <v>2018</v>
      </c>
      <c r="E308" s="8" t="s">
        <v>2019</v>
      </c>
      <c r="F308" s="8" t="s">
        <v>2012</v>
      </c>
      <c r="G308" s="6" t="s">
        <v>52</v>
      </c>
      <c r="H308" s="6" t="s">
        <v>113</v>
      </c>
      <c r="I308" s="8" t="s">
        <v>2013</v>
      </c>
      <c r="J308" s="9">
        <v>1</v>
      </c>
      <c r="K308" s="9">
        <v>257</v>
      </c>
      <c r="L308" s="9">
        <v>2023</v>
      </c>
      <c r="M308" s="8" t="s">
        <v>2020</v>
      </c>
      <c r="N308" s="8" t="s">
        <v>40</v>
      </c>
      <c r="O308" s="8" t="s">
        <v>41</v>
      </c>
      <c r="P308" s="6" t="s">
        <v>42</v>
      </c>
      <c r="Q308" s="8" t="s">
        <v>125</v>
      </c>
      <c r="R308" s="10" t="s">
        <v>2015</v>
      </c>
      <c r="S308" s="11"/>
      <c r="T308" s="6"/>
      <c r="U308" s="28" t="str">
        <f>HYPERLINK("https://media.infra-m.ru/1911/1911155/cover/1911155.jpg", "Обложка")</f>
        <v>Обложка</v>
      </c>
      <c r="V308" s="28" t="str">
        <f>HYPERLINK("https://znanium.com/catalog/product/1073931", "Ознакомиться")</f>
        <v>Ознакомиться</v>
      </c>
      <c r="W308" s="8" t="s">
        <v>88</v>
      </c>
      <c r="X308" s="6"/>
      <c r="Y308" s="6"/>
      <c r="Z308" s="6"/>
      <c r="AA308" s="6" t="s">
        <v>59</v>
      </c>
    </row>
    <row r="309" spans="1:27" s="4" customFormat="1" ht="51.95" customHeight="1">
      <c r="A309" s="5">
        <v>0</v>
      </c>
      <c r="B309" s="6" t="s">
        <v>2021</v>
      </c>
      <c r="C309" s="7">
        <v>790</v>
      </c>
      <c r="D309" s="8" t="s">
        <v>2022</v>
      </c>
      <c r="E309" s="8" t="s">
        <v>2023</v>
      </c>
      <c r="F309" s="8" t="s">
        <v>2024</v>
      </c>
      <c r="G309" s="6" t="s">
        <v>74</v>
      </c>
      <c r="H309" s="6" t="s">
        <v>83</v>
      </c>
      <c r="I309" s="8"/>
      <c r="J309" s="9">
        <v>1</v>
      </c>
      <c r="K309" s="9">
        <v>171</v>
      </c>
      <c r="L309" s="9">
        <v>2024</v>
      </c>
      <c r="M309" s="8" t="s">
        <v>2025</v>
      </c>
      <c r="N309" s="8" t="s">
        <v>40</v>
      </c>
      <c r="O309" s="8" t="s">
        <v>41</v>
      </c>
      <c r="P309" s="6" t="s">
        <v>42</v>
      </c>
      <c r="Q309" s="8" t="s">
        <v>43</v>
      </c>
      <c r="R309" s="10" t="s">
        <v>2026</v>
      </c>
      <c r="S309" s="11"/>
      <c r="T309" s="6"/>
      <c r="U309" s="28" t="str">
        <f>HYPERLINK("https://media.infra-m.ru/2103/2103172/cover/2103172.jpg", "Обложка")</f>
        <v>Обложка</v>
      </c>
      <c r="V309" s="28" t="str">
        <f>HYPERLINK("https://znanium.com/catalog/product/1743734", "Ознакомиться")</f>
        <v>Ознакомиться</v>
      </c>
      <c r="W309" s="8" t="s">
        <v>796</v>
      </c>
      <c r="X309" s="6"/>
      <c r="Y309" s="6"/>
      <c r="Z309" s="6"/>
      <c r="AA309" s="6" t="s">
        <v>120</v>
      </c>
    </row>
    <row r="310" spans="1:27" s="4" customFormat="1" ht="51.95" customHeight="1">
      <c r="A310" s="5">
        <v>0</v>
      </c>
      <c r="B310" s="6" t="s">
        <v>2027</v>
      </c>
      <c r="C310" s="13">
        <v>2080</v>
      </c>
      <c r="D310" s="8" t="s">
        <v>2028</v>
      </c>
      <c r="E310" s="8" t="s">
        <v>2029</v>
      </c>
      <c r="F310" s="8" t="s">
        <v>2030</v>
      </c>
      <c r="G310" s="6" t="s">
        <v>37</v>
      </c>
      <c r="H310" s="6" t="s">
        <v>113</v>
      </c>
      <c r="I310" s="8" t="s">
        <v>54</v>
      </c>
      <c r="J310" s="9">
        <v>1</v>
      </c>
      <c r="K310" s="9">
        <v>462</v>
      </c>
      <c r="L310" s="9">
        <v>2024</v>
      </c>
      <c r="M310" s="8" t="s">
        <v>2031</v>
      </c>
      <c r="N310" s="8" t="s">
        <v>40</v>
      </c>
      <c r="O310" s="8" t="s">
        <v>41</v>
      </c>
      <c r="P310" s="6" t="s">
        <v>161</v>
      </c>
      <c r="Q310" s="8" t="s">
        <v>43</v>
      </c>
      <c r="R310" s="10" t="s">
        <v>2032</v>
      </c>
      <c r="S310" s="11" t="s">
        <v>2033</v>
      </c>
      <c r="T310" s="6" t="s">
        <v>117</v>
      </c>
      <c r="U310" s="28" t="str">
        <f>HYPERLINK("https://media.infra-m.ru/1891/1891958/cover/1891958.jpg", "Обложка")</f>
        <v>Обложка</v>
      </c>
      <c r="V310" s="28" t="str">
        <f>HYPERLINK("https://znanium.com/catalog/product/1891958", "Ознакомиться")</f>
        <v>Ознакомиться</v>
      </c>
      <c r="W310" s="8" t="s">
        <v>2034</v>
      </c>
      <c r="X310" s="6"/>
      <c r="Y310" s="6"/>
      <c r="Z310" s="6"/>
      <c r="AA310" s="6" t="s">
        <v>89</v>
      </c>
    </row>
    <row r="311" spans="1:27" s="4" customFormat="1" ht="51.95" customHeight="1">
      <c r="A311" s="5">
        <v>0</v>
      </c>
      <c r="B311" s="6" t="s">
        <v>2035</v>
      </c>
      <c r="C311" s="13">
        <v>1710</v>
      </c>
      <c r="D311" s="8" t="s">
        <v>2036</v>
      </c>
      <c r="E311" s="8" t="s">
        <v>2029</v>
      </c>
      <c r="F311" s="8" t="s">
        <v>2030</v>
      </c>
      <c r="G311" s="6" t="s">
        <v>52</v>
      </c>
      <c r="H311" s="6" t="s">
        <v>113</v>
      </c>
      <c r="I311" s="8" t="s">
        <v>64</v>
      </c>
      <c r="J311" s="9">
        <v>1</v>
      </c>
      <c r="K311" s="9">
        <v>462</v>
      </c>
      <c r="L311" s="9">
        <v>2022</v>
      </c>
      <c r="M311" s="8" t="s">
        <v>2037</v>
      </c>
      <c r="N311" s="8" t="s">
        <v>40</v>
      </c>
      <c r="O311" s="8" t="s">
        <v>41</v>
      </c>
      <c r="P311" s="6" t="s">
        <v>161</v>
      </c>
      <c r="Q311" s="8" t="s">
        <v>66</v>
      </c>
      <c r="R311" s="10" t="s">
        <v>2032</v>
      </c>
      <c r="S311" s="11" t="s">
        <v>2038</v>
      </c>
      <c r="T311" s="6" t="s">
        <v>117</v>
      </c>
      <c r="U311" s="28" t="str">
        <f>HYPERLINK("https://media.infra-m.ru/1764/1764799/cover/1764799.jpg", "Обложка")</f>
        <v>Обложка</v>
      </c>
      <c r="V311" s="28" t="str">
        <f>HYPERLINK("https://znanium.com/catalog/product/1764799", "Ознакомиться")</f>
        <v>Ознакомиться</v>
      </c>
      <c r="W311" s="8" t="s">
        <v>2034</v>
      </c>
      <c r="X311" s="6"/>
      <c r="Y311" s="6"/>
      <c r="Z311" s="6" t="s">
        <v>69</v>
      </c>
      <c r="AA311" s="6" t="s">
        <v>275</v>
      </c>
    </row>
    <row r="312" spans="1:27" s="4" customFormat="1" ht="51.95" customHeight="1">
      <c r="A312" s="5">
        <v>0</v>
      </c>
      <c r="B312" s="6" t="s">
        <v>2039</v>
      </c>
      <c r="C312" s="7">
        <v>780</v>
      </c>
      <c r="D312" s="8" t="s">
        <v>2040</v>
      </c>
      <c r="E312" s="8" t="s">
        <v>2041</v>
      </c>
      <c r="F312" s="8" t="s">
        <v>36</v>
      </c>
      <c r="G312" s="6" t="s">
        <v>52</v>
      </c>
      <c r="H312" s="6" t="s">
        <v>113</v>
      </c>
      <c r="I312" s="8" t="s">
        <v>368</v>
      </c>
      <c r="J312" s="9">
        <v>1</v>
      </c>
      <c r="K312" s="9">
        <v>173</v>
      </c>
      <c r="L312" s="9">
        <v>2023</v>
      </c>
      <c r="M312" s="8" t="s">
        <v>2042</v>
      </c>
      <c r="N312" s="8" t="s">
        <v>40</v>
      </c>
      <c r="O312" s="8" t="s">
        <v>41</v>
      </c>
      <c r="P312" s="6" t="s">
        <v>161</v>
      </c>
      <c r="Q312" s="8" t="s">
        <v>43</v>
      </c>
      <c r="R312" s="10" t="s">
        <v>2043</v>
      </c>
      <c r="S312" s="11" t="s">
        <v>693</v>
      </c>
      <c r="T312" s="6"/>
      <c r="U312" s="28" t="str">
        <f>HYPERLINK("https://media.infra-m.ru/1999/1999900/cover/1999900.jpg", "Обложка")</f>
        <v>Обложка</v>
      </c>
      <c r="V312" s="28" t="str">
        <f>HYPERLINK("https://znanium.com/catalog/product/1999900", "Ознакомиться")</f>
        <v>Ознакомиться</v>
      </c>
      <c r="W312" s="8" t="s">
        <v>46</v>
      </c>
      <c r="X312" s="6"/>
      <c r="Y312" s="6"/>
      <c r="Z312" s="6"/>
      <c r="AA312" s="6" t="s">
        <v>144</v>
      </c>
    </row>
    <row r="313" spans="1:27" s="4" customFormat="1" ht="51.95" customHeight="1">
      <c r="A313" s="5">
        <v>0</v>
      </c>
      <c r="B313" s="6" t="s">
        <v>2044</v>
      </c>
      <c r="C313" s="13">
        <v>1160</v>
      </c>
      <c r="D313" s="8" t="s">
        <v>2045</v>
      </c>
      <c r="E313" s="8" t="s">
        <v>2046</v>
      </c>
      <c r="F313" s="8" t="s">
        <v>36</v>
      </c>
      <c r="G313" s="6" t="s">
        <v>37</v>
      </c>
      <c r="H313" s="6" t="s">
        <v>113</v>
      </c>
      <c r="I313" s="8" t="s">
        <v>368</v>
      </c>
      <c r="J313" s="9">
        <v>1</v>
      </c>
      <c r="K313" s="9">
        <v>312</v>
      </c>
      <c r="L313" s="9">
        <v>2021</v>
      </c>
      <c r="M313" s="8" t="s">
        <v>2047</v>
      </c>
      <c r="N313" s="8" t="s">
        <v>40</v>
      </c>
      <c r="O313" s="8" t="s">
        <v>41</v>
      </c>
      <c r="P313" s="6" t="s">
        <v>161</v>
      </c>
      <c r="Q313" s="8" t="s">
        <v>43</v>
      </c>
      <c r="R313" s="10" t="s">
        <v>2048</v>
      </c>
      <c r="S313" s="11" t="s">
        <v>2049</v>
      </c>
      <c r="T313" s="6"/>
      <c r="U313" s="28" t="str">
        <f>HYPERLINK("https://media.infra-m.ru/1196/1196552/cover/1196552.jpg", "Обложка")</f>
        <v>Обложка</v>
      </c>
      <c r="V313" s="28" t="str">
        <f>HYPERLINK("https://znanium.com/catalog/product/1196552", "Ознакомиться")</f>
        <v>Ознакомиться</v>
      </c>
      <c r="W313" s="8" t="s">
        <v>46</v>
      </c>
      <c r="X313" s="6"/>
      <c r="Y313" s="6"/>
      <c r="Z313" s="6"/>
      <c r="AA313" s="6" t="s">
        <v>245</v>
      </c>
    </row>
    <row r="314" spans="1:27" s="4" customFormat="1" ht="51.95" customHeight="1">
      <c r="A314" s="5">
        <v>0</v>
      </c>
      <c r="B314" s="6" t="s">
        <v>2050</v>
      </c>
      <c r="C314" s="13">
        <v>1250</v>
      </c>
      <c r="D314" s="8" t="s">
        <v>2051</v>
      </c>
      <c r="E314" s="8" t="s">
        <v>2052</v>
      </c>
      <c r="F314" s="8" t="s">
        <v>36</v>
      </c>
      <c r="G314" s="6" t="s">
        <v>37</v>
      </c>
      <c r="H314" s="6" t="s">
        <v>113</v>
      </c>
      <c r="I314" s="8" t="s">
        <v>368</v>
      </c>
      <c r="J314" s="9">
        <v>1</v>
      </c>
      <c r="K314" s="9">
        <v>335</v>
      </c>
      <c r="L314" s="9">
        <v>2021</v>
      </c>
      <c r="M314" s="8" t="s">
        <v>2053</v>
      </c>
      <c r="N314" s="8" t="s">
        <v>40</v>
      </c>
      <c r="O314" s="8" t="s">
        <v>41</v>
      </c>
      <c r="P314" s="6" t="s">
        <v>161</v>
      </c>
      <c r="Q314" s="8" t="s">
        <v>43</v>
      </c>
      <c r="R314" s="10" t="s">
        <v>391</v>
      </c>
      <c r="S314" s="11" t="s">
        <v>2049</v>
      </c>
      <c r="T314" s="6"/>
      <c r="U314" s="28" t="str">
        <f>HYPERLINK("https://media.infra-m.ru/1478/1478383/cover/1478383.jpg", "Обложка")</f>
        <v>Обложка</v>
      </c>
      <c r="V314" s="28" t="str">
        <f>HYPERLINK("https://znanium.com/catalog/product/1478383", "Ознакомиться")</f>
        <v>Ознакомиться</v>
      </c>
      <c r="W314" s="8" t="s">
        <v>46</v>
      </c>
      <c r="X314" s="6"/>
      <c r="Y314" s="6"/>
      <c r="Z314" s="6"/>
      <c r="AA314" s="6" t="s">
        <v>245</v>
      </c>
    </row>
    <row r="315" spans="1:27" s="4" customFormat="1" ht="51.95" customHeight="1">
      <c r="A315" s="5">
        <v>0</v>
      </c>
      <c r="B315" s="6" t="s">
        <v>2054</v>
      </c>
      <c r="C315" s="13">
        <v>1064</v>
      </c>
      <c r="D315" s="8" t="s">
        <v>2055</v>
      </c>
      <c r="E315" s="8" t="s">
        <v>2056</v>
      </c>
      <c r="F315" s="8" t="s">
        <v>2057</v>
      </c>
      <c r="G315" s="6" t="s">
        <v>52</v>
      </c>
      <c r="H315" s="6" t="s">
        <v>113</v>
      </c>
      <c r="I315" s="8" t="s">
        <v>64</v>
      </c>
      <c r="J315" s="9">
        <v>1</v>
      </c>
      <c r="K315" s="9">
        <v>232</v>
      </c>
      <c r="L315" s="9">
        <v>2024</v>
      </c>
      <c r="M315" s="8" t="s">
        <v>2058</v>
      </c>
      <c r="N315" s="8" t="s">
        <v>40</v>
      </c>
      <c r="O315" s="8" t="s">
        <v>41</v>
      </c>
      <c r="P315" s="6" t="s">
        <v>42</v>
      </c>
      <c r="Q315" s="8" t="s">
        <v>66</v>
      </c>
      <c r="R315" s="10" t="s">
        <v>203</v>
      </c>
      <c r="S315" s="11" t="s">
        <v>318</v>
      </c>
      <c r="T315" s="6"/>
      <c r="U315" s="28" t="str">
        <f>HYPERLINK("https://media.infra-m.ru/2118/2118079/cover/2118079.jpg", "Обложка")</f>
        <v>Обложка</v>
      </c>
      <c r="V315" s="28" t="str">
        <f>HYPERLINK("https://znanium.com/catalog/product/1413308", "Ознакомиться")</f>
        <v>Ознакомиться</v>
      </c>
      <c r="W315" s="8" t="s">
        <v>1739</v>
      </c>
      <c r="X315" s="6"/>
      <c r="Y315" s="6"/>
      <c r="Z315" s="6" t="s">
        <v>69</v>
      </c>
      <c r="AA315" s="6" t="s">
        <v>226</v>
      </c>
    </row>
    <row r="316" spans="1:27" s="4" customFormat="1" ht="51.95" customHeight="1">
      <c r="A316" s="5">
        <v>0</v>
      </c>
      <c r="B316" s="6" t="s">
        <v>2059</v>
      </c>
      <c r="C316" s="13">
        <v>1044.9000000000001</v>
      </c>
      <c r="D316" s="8" t="s">
        <v>2060</v>
      </c>
      <c r="E316" s="8" t="s">
        <v>2056</v>
      </c>
      <c r="F316" s="8" t="s">
        <v>2057</v>
      </c>
      <c r="G316" s="6" t="s">
        <v>52</v>
      </c>
      <c r="H316" s="6" t="s">
        <v>113</v>
      </c>
      <c r="I316" s="8" t="s">
        <v>75</v>
      </c>
      <c r="J316" s="9">
        <v>1</v>
      </c>
      <c r="K316" s="9">
        <v>232</v>
      </c>
      <c r="L316" s="9">
        <v>2023</v>
      </c>
      <c r="M316" s="8" t="s">
        <v>2061</v>
      </c>
      <c r="N316" s="8" t="s">
        <v>40</v>
      </c>
      <c r="O316" s="8" t="s">
        <v>41</v>
      </c>
      <c r="P316" s="6" t="s">
        <v>42</v>
      </c>
      <c r="Q316" s="8" t="s">
        <v>43</v>
      </c>
      <c r="R316" s="10" t="s">
        <v>2062</v>
      </c>
      <c r="S316" s="11" t="s">
        <v>2063</v>
      </c>
      <c r="T316" s="6"/>
      <c r="U316" s="28" t="str">
        <f>HYPERLINK("https://media.infra-m.ru/1919/1919493/cover/1919493.jpg", "Обложка")</f>
        <v>Обложка</v>
      </c>
      <c r="V316" s="28" t="str">
        <f>HYPERLINK("https://znanium.com/catalog/product/1684739", "Ознакомиться")</f>
        <v>Ознакомиться</v>
      </c>
      <c r="W316" s="8" t="s">
        <v>1739</v>
      </c>
      <c r="X316" s="6"/>
      <c r="Y316" s="6"/>
      <c r="Z316" s="6"/>
      <c r="AA316" s="6" t="s">
        <v>165</v>
      </c>
    </row>
    <row r="317" spans="1:27" s="4" customFormat="1" ht="51.95" customHeight="1">
      <c r="A317" s="5">
        <v>0</v>
      </c>
      <c r="B317" s="6" t="s">
        <v>2064</v>
      </c>
      <c r="C317" s="13">
        <v>2770</v>
      </c>
      <c r="D317" s="8" t="s">
        <v>2065</v>
      </c>
      <c r="E317" s="8" t="s">
        <v>2066</v>
      </c>
      <c r="F317" s="8" t="s">
        <v>526</v>
      </c>
      <c r="G317" s="6" t="s">
        <v>37</v>
      </c>
      <c r="H317" s="6" t="s">
        <v>113</v>
      </c>
      <c r="I317" s="8" t="s">
        <v>64</v>
      </c>
      <c r="J317" s="9">
        <v>1</v>
      </c>
      <c r="K317" s="9">
        <v>602</v>
      </c>
      <c r="L317" s="9">
        <v>2024</v>
      </c>
      <c r="M317" s="8" t="s">
        <v>2067</v>
      </c>
      <c r="N317" s="8" t="s">
        <v>40</v>
      </c>
      <c r="O317" s="8" t="s">
        <v>41</v>
      </c>
      <c r="P317" s="6" t="s">
        <v>42</v>
      </c>
      <c r="Q317" s="8" t="s">
        <v>66</v>
      </c>
      <c r="R317" s="10" t="s">
        <v>1535</v>
      </c>
      <c r="S317" s="11" t="s">
        <v>2068</v>
      </c>
      <c r="T317" s="6"/>
      <c r="U317" s="28" t="str">
        <f>HYPERLINK("https://media.infra-m.ru/1942/1942679/cover/1942679.jpg", "Обложка")</f>
        <v>Обложка</v>
      </c>
      <c r="V317" s="28" t="str">
        <f>HYPERLINK("https://znanium.com/catalog/product/1942679", "Ознакомиться")</f>
        <v>Ознакомиться</v>
      </c>
      <c r="W317" s="8" t="s">
        <v>88</v>
      </c>
      <c r="X317" s="6" t="s">
        <v>381</v>
      </c>
      <c r="Y317" s="6"/>
      <c r="Z317" s="6" t="s">
        <v>69</v>
      </c>
      <c r="AA317" s="6" t="s">
        <v>70</v>
      </c>
    </row>
    <row r="318" spans="1:27" s="4" customFormat="1" ht="51.95" customHeight="1">
      <c r="A318" s="5">
        <v>0</v>
      </c>
      <c r="B318" s="6" t="s">
        <v>2069</v>
      </c>
      <c r="C318" s="13">
        <v>1004</v>
      </c>
      <c r="D318" s="8" t="s">
        <v>2070</v>
      </c>
      <c r="E318" s="8" t="s">
        <v>2071</v>
      </c>
      <c r="F318" s="8" t="s">
        <v>526</v>
      </c>
      <c r="G318" s="6" t="s">
        <v>52</v>
      </c>
      <c r="H318" s="6" t="s">
        <v>113</v>
      </c>
      <c r="I318" s="8" t="s">
        <v>64</v>
      </c>
      <c r="J318" s="9">
        <v>1</v>
      </c>
      <c r="K318" s="9">
        <v>223</v>
      </c>
      <c r="L318" s="9">
        <v>2023</v>
      </c>
      <c r="M318" s="8" t="s">
        <v>2072</v>
      </c>
      <c r="N318" s="8" t="s">
        <v>40</v>
      </c>
      <c r="O318" s="8" t="s">
        <v>41</v>
      </c>
      <c r="P318" s="6" t="s">
        <v>42</v>
      </c>
      <c r="Q318" s="8" t="s">
        <v>66</v>
      </c>
      <c r="R318" s="10" t="s">
        <v>1535</v>
      </c>
      <c r="S318" s="11" t="s">
        <v>2068</v>
      </c>
      <c r="T318" s="6"/>
      <c r="U318" s="28" t="str">
        <f>HYPERLINK("https://media.infra-m.ru/1914/1914496/cover/1914496.jpg", "Обложка")</f>
        <v>Обложка</v>
      </c>
      <c r="V318" s="28" t="str">
        <f>HYPERLINK("https://znanium.com/catalog/product/1942679", "Ознакомиться")</f>
        <v>Ознакомиться</v>
      </c>
      <c r="W318" s="8" t="s">
        <v>88</v>
      </c>
      <c r="X318" s="6"/>
      <c r="Y318" s="6"/>
      <c r="Z318" s="6" t="s">
        <v>69</v>
      </c>
      <c r="AA318" s="6" t="s">
        <v>253</v>
      </c>
    </row>
    <row r="319" spans="1:27" s="4" customFormat="1" ht="51.95" customHeight="1">
      <c r="A319" s="5">
        <v>0</v>
      </c>
      <c r="B319" s="6" t="s">
        <v>2073</v>
      </c>
      <c r="C319" s="13">
        <v>1014</v>
      </c>
      <c r="D319" s="8" t="s">
        <v>2074</v>
      </c>
      <c r="E319" s="8" t="s">
        <v>2071</v>
      </c>
      <c r="F319" s="8" t="s">
        <v>526</v>
      </c>
      <c r="G319" s="6" t="s">
        <v>52</v>
      </c>
      <c r="H319" s="6" t="s">
        <v>113</v>
      </c>
      <c r="I319" s="8" t="s">
        <v>75</v>
      </c>
      <c r="J319" s="9">
        <v>1</v>
      </c>
      <c r="K319" s="9">
        <v>223</v>
      </c>
      <c r="L319" s="9">
        <v>2023</v>
      </c>
      <c r="M319" s="8" t="s">
        <v>2075</v>
      </c>
      <c r="N319" s="8" t="s">
        <v>40</v>
      </c>
      <c r="O319" s="8" t="s">
        <v>41</v>
      </c>
      <c r="P319" s="6" t="s">
        <v>42</v>
      </c>
      <c r="Q319" s="8" t="s">
        <v>43</v>
      </c>
      <c r="R319" s="10" t="s">
        <v>2076</v>
      </c>
      <c r="S319" s="11" t="s">
        <v>2077</v>
      </c>
      <c r="T319" s="6"/>
      <c r="U319" s="28" t="str">
        <f>HYPERLINK("https://media.infra-m.ru/1927/1927332/cover/1927332.jpg", "Обложка")</f>
        <v>Обложка</v>
      </c>
      <c r="V319" s="28" t="str">
        <f>HYPERLINK("https://znanium.com/catalog/product/1189349", "Ознакомиться")</f>
        <v>Ознакомиться</v>
      </c>
      <c r="W319" s="8" t="s">
        <v>88</v>
      </c>
      <c r="X319" s="6"/>
      <c r="Y319" s="6"/>
      <c r="Z319" s="6"/>
      <c r="AA319" s="6" t="s">
        <v>226</v>
      </c>
    </row>
    <row r="320" spans="1:27" s="4" customFormat="1" ht="51.95" customHeight="1">
      <c r="A320" s="5">
        <v>0</v>
      </c>
      <c r="B320" s="6" t="s">
        <v>2078</v>
      </c>
      <c r="C320" s="13">
        <v>1030</v>
      </c>
      <c r="D320" s="8" t="s">
        <v>2079</v>
      </c>
      <c r="E320" s="8" t="s">
        <v>2071</v>
      </c>
      <c r="F320" s="8" t="s">
        <v>526</v>
      </c>
      <c r="G320" s="6" t="s">
        <v>52</v>
      </c>
      <c r="H320" s="6" t="s">
        <v>113</v>
      </c>
      <c r="I320" s="8" t="s">
        <v>248</v>
      </c>
      <c r="J320" s="9">
        <v>1</v>
      </c>
      <c r="K320" s="9">
        <v>223</v>
      </c>
      <c r="L320" s="9">
        <v>2024</v>
      </c>
      <c r="M320" s="8" t="s">
        <v>2080</v>
      </c>
      <c r="N320" s="8" t="s">
        <v>40</v>
      </c>
      <c r="O320" s="8" t="s">
        <v>41</v>
      </c>
      <c r="P320" s="6" t="s">
        <v>42</v>
      </c>
      <c r="Q320" s="8" t="s">
        <v>250</v>
      </c>
      <c r="R320" s="10" t="s">
        <v>251</v>
      </c>
      <c r="S320" s="11" t="s">
        <v>2081</v>
      </c>
      <c r="T320" s="6"/>
      <c r="U320" s="28" t="str">
        <f>HYPERLINK("https://media.infra-m.ru/2003/2003474/cover/2003474.jpg", "Обложка")</f>
        <v>Обложка</v>
      </c>
      <c r="V320" s="28" t="str">
        <f>HYPERLINK("https://znanium.com/catalog/product/2003474", "Ознакомиться")</f>
        <v>Ознакомиться</v>
      </c>
      <c r="W320" s="8" t="s">
        <v>88</v>
      </c>
      <c r="X320" s="6"/>
      <c r="Y320" s="6"/>
      <c r="Z320" s="6" t="s">
        <v>756</v>
      </c>
      <c r="AA320" s="6" t="s">
        <v>275</v>
      </c>
    </row>
    <row r="321" spans="1:27" s="4" customFormat="1" ht="51.95" customHeight="1">
      <c r="A321" s="5">
        <v>0</v>
      </c>
      <c r="B321" s="6" t="s">
        <v>2082</v>
      </c>
      <c r="C321" s="7">
        <v>940</v>
      </c>
      <c r="D321" s="8" t="s">
        <v>2083</v>
      </c>
      <c r="E321" s="8" t="s">
        <v>2084</v>
      </c>
      <c r="F321" s="8" t="s">
        <v>2085</v>
      </c>
      <c r="G321" s="6" t="s">
        <v>74</v>
      </c>
      <c r="H321" s="6" t="s">
        <v>158</v>
      </c>
      <c r="I321" s="8"/>
      <c r="J321" s="9">
        <v>1</v>
      </c>
      <c r="K321" s="9">
        <v>208</v>
      </c>
      <c r="L321" s="9">
        <v>2019</v>
      </c>
      <c r="M321" s="8" t="s">
        <v>2086</v>
      </c>
      <c r="N321" s="8" t="s">
        <v>40</v>
      </c>
      <c r="O321" s="8" t="s">
        <v>41</v>
      </c>
      <c r="P321" s="6" t="s">
        <v>42</v>
      </c>
      <c r="Q321" s="8" t="s">
        <v>43</v>
      </c>
      <c r="R321" s="10" t="s">
        <v>2087</v>
      </c>
      <c r="S321" s="11" t="s">
        <v>2088</v>
      </c>
      <c r="T321" s="6"/>
      <c r="U321" s="28" t="str">
        <f>HYPERLINK("https://media.infra-m.ru/1946/1946507/cover/1946507.jpg", "Обложка")</f>
        <v>Обложка</v>
      </c>
      <c r="V321" s="28" t="str">
        <f>HYPERLINK("https://znanium.com/catalog/product/1016017", "Ознакомиться")</f>
        <v>Ознакомиться</v>
      </c>
      <c r="W321" s="8" t="s">
        <v>2089</v>
      </c>
      <c r="X321" s="6"/>
      <c r="Y321" s="6"/>
      <c r="Z321" s="6"/>
      <c r="AA321" s="6" t="s">
        <v>78</v>
      </c>
    </row>
    <row r="322" spans="1:27" s="4" customFormat="1" ht="51.95" customHeight="1">
      <c r="A322" s="5">
        <v>0</v>
      </c>
      <c r="B322" s="6" t="s">
        <v>2090</v>
      </c>
      <c r="C322" s="13">
        <v>1444.9</v>
      </c>
      <c r="D322" s="8" t="s">
        <v>2091</v>
      </c>
      <c r="E322" s="8" t="s">
        <v>2092</v>
      </c>
      <c r="F322" s="8" t="s">
        <v>2093</v>
      </c>
      <c r="G322" s="6" t="s">
        <v>52</v>
      </c>
      <c r="H322" s="6" t="s">
        <v>113</v>
      </c>
      <c r="I322" s="8" t="s">
        <v>75</v>
      </c>
      <c r="J322" s="9">
        <v>1</v>
      </c>
      <c r="K322" s="9">
        <v>320</v>
      </c>
      <c r="L322" s="9">
        <v>2022</v>
      </c>
      <c r="M322" s="8" t="s">
        <v>2094</v>
      </c>
      <c r="N322" s="8" t="s">
        <v>40</v>
      </c>
      <c r="O322" s="8" t="s">
        <v>41</v>
      </c>
      <c r="P322" s="6" t="s">
        <v>161</v>
      </c>
      <c r="Q322" s="8" t="s">
        <v>43</v>
      </c>
      <c r="R322" s="10" t="s">
        <v>2095</v>
      </c>
      <c r="S322" s="11" t="s">
        <v>2096</v>
      </c>
      <c r="T322" s="6"/>
      <c r="U322" s="28" t="str">
        <f>HYPERLINK("https://media.infra-m.ru/1952/1952058/cover/1952058.jpg", "Обложка")</f>
        <v>Обложка</v>
      </c>
      <c r="V322" s="28" t="str">
        <f>HYPERLINK("https://znanium.com/catalog/product/1907518", "Ознакомиться")</f>
        <v>Ознакомиться</v>
      </c>
      <c r="W322" s="8" t="s">
        <v>2097</v>
      </c>
      <c r="X322" s="6"/>
      <c r="Y322" s="6"/>
      <c r="Z322" s="6"/>
      <c r="AA322" s="6" t="s">
        <v>89</v>
      </c>
    </row>
    <row r="323" spans="1:27" s="4" customFormat="1" ht="51.95" customHeight="1">
      <c r="A323" s="5">
        <v>0</v>
      </c>
      <c r="B323" s="6" t="s">
        <v>2098</v>
      </c>
      <c r="C323" s="13">
        <v>1334</v>
      </c>
      <c r="D323" s="8" t="s">
        <v>2099</v>
      </c>
      <c r="E323" s="8" t="s">
        <v>2100</v>
      </c>
      <c r="F323" s="8" t="s">
        <v>1540</v>
      </c>
      <c r="G323" s="6" t="s">
        <v>37</v>
      </c>
      <c r="H323" s="6" t="s">
        <v>83</v>
      </c>
      <c r="I323" s="8" t="s">
        <v>75</v>
      </c>
      <c r="J323" s="9">
        <v>1</v>
      </c>
      <c r="K323" s="9">
        <v>296</v>
      </c>
      <c r="L323" s="9">
        <v>2023</v>
      </c>
      <c r="M323" s="8" t="s">
        <v>2101</v>
      </c>
      <c r="N323" s="8" t="s">
        <v>40</v>
      </c>
      <c r="O323" s="8" t="s">
        <v>41</v>
      </c>
      <c r="P323" s="6" t="s">
        <v>42</v>
      </c>
      <c r="Q323" s="8" t="s">
        <v>43</v>
      </c>
      <c r="R323" s="10" t="s">
        <v>2102</v>
      </c>
      <c r="S323" s="11" t="s">
        <v>2103</v>
      </c>
      <c r="T323" s="6"/>
      <c r="U323" s="28" t="str">
        <f>HYPERLINK("https://media.infra-m.ru/1911/1911164/cover/1911164.jpg", "Обложка")</f>
        <v>Обложка</v>
      </c>
      <c r="V323" s="28" t="str">
        <f>HYPERLINK("https://znanium.com/catalog/product/1230215", "Ознакомиться")</f>
        <v>Ознакомиться</v>
      </c>
      <c r="W323" s="8" t="s">
        <v>204</v>
      </c>
      <c r="X323" s="6"/>
      <c r="Y323" s="6"/>
      <c r="Z323" s="6"/>
      <c r="AA323" s="6" t="s">
        <v>47</v>
      </c>
    </row>
    <row r="324" spans="1:27" s="4" customFormat="1" ht="42" customHeight="1">
      <c r="A324" s="5">
        <v>0</v>
      </c>
      <c r="B324" s="6" t="s">
        <v>2104</v>
      </c>
      <c r="C324" s="7">
        <v>910</v>
      </c>
      <c r="D324" s="8" t="s">
        <v>2105</v>
      </c>
      <c r="E324" s="8" t="s">
        <v>2106</v>
      </c>
      <c r="F324" s="8" t="s">
        <v>2107</v>
      </c>
      <c r="G324" s="6" t="s">
        <v>37</v>
      </c>
      <c r="H324" s="6" t="s">
        <v>113</v>
      </c>
      <c r="I324" s="8" t="s">
        <v>140</v>
      </c>
      <c r="J324" s="9">
        <v>1</v>
      </c>
      <c r="K324" s="9">
        <v>293</v>
      </c>
      <c r="L324" s="9">
        <v>2018</v>
      </c>
      <c r="M324" s="8" t="s">
        <v>2108</v>
      </c>
      <c r="N324" s="8" t="s">
        <v>40</v>
      </c>
      <c r="O324" s="8" t="s">
        <v>41</v>
      </c>
      <c r="P324" s="6" t="s">
        <v>133</v>
      </c>
      <c r="Q324" s="8" t="s">
        <v>125</v>
      </c>
      <c r="R324" s="10" t="s">
        <v>2109</v>
      </c>
      <c r="S324" s="11"/>
      <c r="T324" s="6"/>
      <c r="U324" s="28" t="str">
        <f>HYPERLINK("https://media.infra-m.ru/0912/0912793/cover/912793.jpg", "Обложка")</f>
        <v>Обложка</v>
      </c>
      <c r="V324" s="28" t="str">
        <f>HYPERLINK("https://znanium.com/catalog/product/912793", "Ознакомиться")</f>
        <v>Ознакомиться</v>
      </c>
      <c r="W324" s="8" t="s">
        <v>495</v>
      </c>
      <c r="X324" s="6"/>
      <c r="Y324" s="6"/>
      <c r="Z324" s="6"/>
      <c r="AA324" s="6" t="s">
        <v>120</v>
      </c>
    </row>
    <row r="325" spans="1:27" s="4" customFormat="1" ht="51.95" customHeight="1">
      <c r="A325" s="5">
        <v>0</v>
      </c>
      <c r="B325" s="6" t="s">
        <v>2110</v>
      </c>
      <c r="C325" s="13">
        <v>1494.9</v>
      </c>
      <c r="D325" s="8" t="s">
        <v>2111</v>
      </c>
      <c r="E325" s="8" t="s">
        <v>2112</v>
      </c>
      <c r="F325" s="8" t="s">
        <v>2113</v>
      </c>
      <c r="G325" s="6" t="s">
        <v>37</v>
      </c>
      <c r="H325" s="6" t="s">
        <v>113</v>
      </c>
      <c r="I325" s="8" t="s">
        <v>1341</v>
      </c>
      <c r="J325" s="9">
        <v>1</v>
      </c>
      <c r="K325" s="9">
        <v>333</v>
      </c>
      <c r="L325" s="9">
        <v>2023</v>
      </c>
      <c r="M325" s="8" t="s">
        <v>2114</v>
      </c>
      <c r="N325" s="8" t="s">
        <v>40</v>
      </c>
      <c r="O325" s="8" t="s">
        <v>41</v>
      </c>
      <c r="P325" s="6" t="s">
        <v>42</v>
      </c>
      <c r="Q325" s="8" t="s">
        <v>379</v>
      </c>
      <c r="R325" s="10" t="s">
        <v>2115</v>
      </c>
      <c r="S325" s="11" t="s">
        <v>2116</v>
      </c>
      <c r="T325" s="6"/>
      <c r="U325" s="28" t="str">
        <f>HYPERLINK("https://media.infra-m.ru/2021/2021458/cover/2021458.jpg", "Обложка")</f>
        <v>Обложка</v>
      </c>
      <c r="V325" s="28" t="str">
        <f>HYPERLINK("https://znanium.com/catalog/product/1014651", "Ознакомиться")</f>
        <v>Ознакомиться</v>
      </c>
      <c r="W325" s="8" t="s">
        <v>204</v>
      </c>
      <c r="X325" s="6"/>
      <c r="Y325" s="6"/>
      <c r="Z325" s="6"/>
      <c r="AA325" s="6" t="s">
        <v>245</v>
      </c>
    </row>
    <row r="326" spans="1:27" s="4" customFormat="1" ht="51.95" customHeight="1">
      <c r="A326" s="5">
        <v>0</v>
      </c>
      <c r="B326" s="6" t="s">
        <v>2117</v>
      </c>
      <c r="C326" s="13">
        <v>1084.9000000000001</v>
      </c>
      <c r="D326" s="8" t="s">
        <v>2118</v>
      </c>
      <c r="E326" s="8" t="s">
        <v>2119</v>
      </c>
      <c r="F326" s="8" t="s">
        <v>2120</v>
      </c>
      <c r="G326" s="6" t="s">
        <v>74</v>
      </c>
      <c r="H326" s="6" t="s">
        <v>38</v>
      </c>
      <c r="I326" s="8" t="s">
        <v>1180</v>
      </c>
      <c r="J326" s="9">
        <v>1</v>
      </c>
      <c r="K326" s="9">
        <v>278</v>
      </c>
      <c r="L326" s="9">
        <v>2022</v>
      </c>
      <c r="M326" s="8" t="s">
        <v>2121</v>
      </c>
      <c r="N326" s="8" t="s">
        <v>40</v>
      </c>
      <c r="O326" s="8" t="s">
        <v>41</v>
      </c>
      <c r="P326" s="6" t="s">
        <v>133</v>
      </c>
      <c r="Q326" s="8" t="s">
        <v>125</v>
      </c>
      <c r="R326" s="10" t="s">
        <v>2122</v>
      </c>
      <c r="S326" s="11"/>
      <c r="T326" s="6"/>
      <c r="U326" s="28" t="str">
        <f>HYPERLINK("https://media.infra-m.ru/1817/1817314/cover/1817314.jpg", "Обложка")</f>
        <v>Обложка</v>
      </c>
      <c r="V326" s="28" t="str">
        <f>HYPERLINK("https://znanium.com/catalog/product/1817314", "Ознакомиться")</f>
        <v>Ознакомиться</v>
      </c>
      <c r="W326" s="8" t="s">
        <v>558</v>
      </c>
      <c r="X326" s="6"/>
      <c r="Y326" s="6"/>
      <c r="Z326" s="6"/>
      <c r="AA326" s="6" t="s">
        <v>47</v>
      </c>
    </row>
    <row r="327" spans="1:27" s="4" customFormat="1" ht="51.95" customHeight="1">
      <c r="A327" s="5">
        <v>0</v>
      </c>
      <c r="B327" s="6" t="s">
        <v>2123</v>
      </c>
      <c r="C327" s="13">
        <v>2120</v>
      </c>
      <c r="D327" s="8" t="s">
        <v>2124</v>
      </c>
      <c r="E327" s="8" t="s">
        <v>2125</v>
      </c>
      <c r="F327" s="8" t="s">
        <v>2126</v>
      </c>
      <c r="G327" s="6" t="s">
        <v>37</v>
      </c>
      <c r="H327" s="6" t="s">
        <v>113</v>
      </c>
      <c r="I327" s="8" t="s">
        <v>75</v>
      </c>
      <c r="J327" s="9">
        <v>1</v>
      </c>
      <c r="K327" s="9">
        <v>576</v>
      </c>
      <c r="L327" s="9">
        <v>2022</v>
      </c>
      <c r="M327" s="8" t="s">
        <v>2127</v>
      </c>
      <c r="N327" s="8" t="s">
        <v>40</v>
      </c>
      <c r="O327" s="8" t="s">
        <v>41</v>
      </c>
      <c r="P327" s="6" t="s">
        <v>42</v>
      </c>
      <c r="Q327" s="8" t="s">
        <v>43</v>
      </c>
      <c r="R327" s="10" t="s">
        <v>2128</v>
      </c>
      <c r="S327" s="11" t="s">
        <v>2129</v>
      </c>
      <c r="T327" s="6" t="s">
        <v>117</v>
      </c>
      <c r="U327" s="28" t="str">
        <f>HYPERLINK("https://media.infra-m.ru/1869/1869674/cover/1869674.jpg", "Обложка")</f>
        <v>Обложка</v>
      </c>
      <c r="V327" s="28" t="str">
        <f>HYPERLINK("https://znanium.com/catalog/product/1869674", "Ознакомиться")</f>
        <v>Ознакомиться</v>
      </c>
      <c r="W327" s="8" t="s">
        <v>2089</v>
      </c>
      <c r="X327" s="6"/>
      <c r="Y327" s="6"/>
      <c r="Z327" s="6"/>
      <c r="AA327" s="6" t="s">
        <v>78</v>
      </c>
    </row>
    <row r="328" spans="1:27" s="4" customFormat="1" ht="51.95" customHeight="1">
      <c r="A328" s="5">
        <v>0</v>
      </c>
      <c r="B328" s="6" t="s">
        <v>2130</v>
      </c>
      <c r="C328" s="13">
        <v>1364</v>
      </c>
      <c r="D328" s="8" t="s">
        <v>2131</v>
      </c>
      <c r="E328" s="8" t="s">
        <v>2132</v>
      </c>
      <c r="F328" s="8" t="s">
        <v>2133</v>
      </c>
      <c r="G328" s="6" t="s">
        <v>52</v>
      </c>
      <c r="H328" s="6" t="s">
        <v>149</v>
      </c>
      <c r="I328" s="8"/>
      <c r="J328" s="9">
        <v>1</v>
      </c>
      <c r="K328" s="9">
        <v>304</v>
      </c>
      <c r="L328" s="9">
        <v>2023</v>
      </c>
      <c r="M328" s="8" t="s">
        <v>2134</v>
      </c>
      <c r="N328" s="8" t="s">
        <v>40</v>
      </c>
      <c r="O328" s="8" t="s">
        <v>41</v>
      </c>
      <c r="P328" s="6" t="s">
        <v>42</v>
      </c>
      <c r="Q328" s="8" t="s">
        <v>43</v>
      </c>
      <c r="R328" s="10" t="s">
        <v>2135</v>
      </c>
      <c r="S328" s="11" t="s">
        <v>2136</v>
      </c>
      <c r="T328" s="6"/>
      <c r="U328" s="28" t="str">
        <f>HYPERLINK("https://media.infra-m.ru/2006/2006044/cover/2006044.jpg", "Обложка")</f>
        <v>Обложка</v>
      </c>
      <c r="V328" s="28" t="str">
        <f>HYPERLINK("https://znanium.com/catalog/product/1003408", "Ознакомиться")</f>
        <v>Ознакомиться</v>
      </c>
      <c r="W328" s="8" t="s">
        <v>587</v>
      </c>
      <c r="X328" s="6"/>
      <c r="Y328" s="6"/>
      <c r="Z328" s="6"/>
      <c r="AA328" s="6" t="s">
        <v>120</v>
      </c>
    </row>
    <row r="329" spans="1:27" s="4" customFormat="1" ht="51.95" customHeight="1">
      <c r="A329" s="5">
        <v>0</v>
      </c>
      <c r="B329" s="6" t="s">
        <v>2137</v>
      </c>
      <c r="C329" s="13">
        <v>1780</v>
      </c>
      <c r="D329" s="8" t="s">
        <v>2138</v>
      </c>
      <c r="E329" s="8" t="s">
        <v>2139</v>
      </c>
      <c r="F329" s="8" t="s">
        <v>2030</v>
      </c>
      <c r="G329" s="6" t="s">
        <v>52</v>
      </c>
      <c r="H329" s="6" t="s">
        <v>113</v>
      </c>
      <c r="I329" s="8" t="s">
        <v>75</v>
      </c>
      <c r="J329" s="9">
        <v>1</v>
      </c>
      <c r="K329" s="9">
        <v>396</v>
      </c>
      <c r="L329" s="9">
        <v>2022</v>
      </c>
      <c r="M329" s="8" t="s">
        <v>2140</v>
      </c>
      <c r="N329" s="8" t="s">
        <v>40</v>
      </c>
      <c r="O329" s="8" t="s">
        <v>41</v>
      </c>
      <c r="P329" s="6" t="s">
        <v>42</v>
      </c>
      <c r="Q329" s="8" t="s">
        <v>43</v>
      </c>
      <c r="R329" s="10" t="s">
        <v>2141</v>
      </c>
      <c r="S329" s="11" t="s">
        <v>2142</v>
      </c>
      <c r="T329" s="6" t="s">
        <v>117</v>
      </c>
      <c r="U329" s="28" t="str">
        <f>HYPERLINK("https://media.infra-m.ru/1948/1948191/cover/1948191.jpg", "Обложка")</f>
        <v>Обложка</v>
      </c>
      <c r="V329" s="28" t="str">
        <f>HYPERLINK("https://znanium.com/catalog/product/1948191", "Ознакомиться")</f>
        <v>Ознакомиться</v>
      </c>
      <c r="W329" s="8" t="s">
        <v>2034</v>
      </c>
      <c r="X329" s="6"/>
      <c r="Y329" s="6"/>
      <c r="Z329" s="6"/>
      <c r="AA329" s="6" t="s">
        <v>89</v>
      </c>
    </row>
    <row r="330" spans="1:27" s="4" customFormat="1" ht="51.95" customHeight="1">
      <c r="A330" s="5">
        <v>0</v>
      </c>
      <c r="B330" s="6" t="s">
        <v>2143</v>
      </c>
      <c r="C330" s="13">
        <v>1824</v>
      </c>
      <c r="D330" s="8" t="s">
        <v>2144</v>
      </c>
      <c r="E330" s="8" t="s">
        <v>2139</v>
      </c>
      <c r="F330" s="8" t="s">
        <v>2030</v>
      </c>
      <c r="G330" s="6" t="s">
        <v>52</v>
      </c>
      <c r="H330" s="6" t="s">
        <v>113</v>
      </c>
      <c r="I330" s="8" t="s">
        <v>64</v>
      </c>
      <c r="J330" s="9">
        <v>1</v>
      </c>
      <c r="K330" s="9">
        <v>396</v>
      </c>
      <c r="L330" s="9">
        <v>2024</v>
      </c>
      <c r="M330" s="8" t="s">
        <v>2145</v>
      </c>
      <c r="N330" s="8" t="s">
        <v>40</v>
      </c>
      <c r="O330" s="8" t="s">
        <v>41</v>
      </c>
      <c r="P330" s="6" t="s">
        <v>42</v>
      </c>
      <c r="Q330" s="8" t="s">
        <v>66</v>
      </c>
      <c r="R330" s="10" t="s">
        <v>2146</v>
      </c>
      <c r="S330" s="11" t="s">
        <v>2147</v>
      </c>
      <c r="T330" s="6" t="s">
        <v>117</v>
      </c>
      <c r="U330" s="28" t="str">
        <f>HYPERLINK("https://media.infra-m.ru/2084/2084145/cover/2084145.jpg", "Обложка")</f>
        <v>Обложка</v>
      </c>
      <c r="V330" s="28" t="str">
        <f>HYPERLINK("https://znanium.com/catalog/product/1117209", "Ознакомиться")</f>
        <v>Ознакомиться</v>
      </c>
      <c r="W330" s="8" t="s">
        <v>2034</v>
      </c>
      <c r="X330" s="6"/>
      <c r="Y330" s="6"/>
      <c r="Z330" s="6" t="s">
        <v>69</v>
      </c>
      <c r="AA330" s="6" t="s">
        <v>226</v>
      </c>
    </row>
    <row r="331" spans="1:27" s="4" customFormat="1" ht="42" customHeight="1">
      <c r="A331" s="5">
        <v>0</v>
      </c>
      <c r="B331" s="6" t="s">
        <v>2148</v>
      </c>
      <c r="C331" s="13">
        <v>1154</v>
      </c>
      <c r="D331" s="8" t="s">
        <v>2149</v>
      </c>
      <c r="E331" s="8" t="s">
        <v>2150</v>
      </c>
      <c r="F331" s="8" t="s">
        <v>1412</v>
      </c>
      <c r="G331" s="6" t="s">
        <v>37</v>
      </c>
      <c r="H331" s="6" t="s">
        <v>158</v>
      </c>
      <c r="I331" s="8" t="s">
        <v>64</v>
      </c>
      <c r="J331" s="9">
        <v>1</v>
      </c>
      <c r="K331" s="9">
        <v>256</v>
      </c>
      <c r="L331" s="9">
        <v>2023</v>
      </c>
      <c r="M331" s="8" t="s">
        <v>2151</v>
      </c>
      <c r="N331" s="8" t="s">
        <v>40</v>
      </c>
      <c r="O331" s="8" t="s">
        <v>41</v>
      </c>
      <c r="P331" s="6" t="s">
        <v>161</v>
      </c>
      <c r="Q331" s="8" t="s">
        <v>66</v>
      </c>
      <c r="R331" s="10" t="s">
        <v>2152</v>
      </c>
      <c r="S331" s="11"/>
      <c r="T331" s="6"/>
      <c r="U331" s="28" t="str">
        <f>HYPERLINK("https://media.infra-m.ru/2002/2002606/cover/2002606.jpg", "Обложка")</f>
        <v>Обложка</v>
      </c>
      <c r="V331" s="28" t="str">
        <f>HYPERLINK("https://znanium.com/catalog/product/1214881", "Ознакомиться")</f>
        <v>Ознакомиться</v>
      </c>
      <c r="W331" s="8" t="s">
        <v>107</v>
      </c>
      <c r="X331" s="6"/>
      <c r="Y331" s="6"/>
      <c r="Z331" s="6"/>
      <c r="AA331" s="6" t="s">
        <v>144</v>
      </c>
    </row>
    <row r="332" spans="1:27" s="4" customFormat="1" ht="42" customHeight="1">
      <c r="A332" s="5">
        <v>0</v>
      </c>
      <c r="B332" s="6" t="s">
        <v>2153</v>
      </c>
      <c r="C332" s="13">
        <v>1140</v>
      </c>
      <c r="D332" s="8" t="s">
        <v>2154</v>
      </c>
      <c r="E332" s="8" t="s">
        <v>2150</v>
      </c>
      <c r="F332" s="8" t="s">
        <v>1412</v>
      </c>
      <c r="G332" s="6" t="s">
        <v>52</v>
      </c>
      <c r="H332" s="6" t="s">
        <v>158</v>
      </c>
      <c r="I332" s="8" t="s">
        <v>64</v>
      </c>
      <c r="J332" s="9">
        <v>1</v>
      </c>
      <c r="K332" s="9">
        <v>242</v>
      </c>
      <c r="L332" s="9">
        <v>2024</v>
      </c>
      <c r="M332" s="8" t="s">
        <v>2155</v>
      </c>
      <c r="N332" s="8" t="s">
        <v>40</v>
      </c>
      <c r="O332" s="8" t="s">
        <v>41</v>
      </c>
      <c r="P332" s="6" t="s">
        <v>161</v>
      </c>
      <c r="Q332" s="8" t="s">
        <v>66</v>
      </c>
      <c r="R332" s="10" t="s">
        <v>2156</v>
      </c>
      <c r="S332" s="11"/>
      <c r="T332" s="6"/>
      <c r="U332" s="28" t="str">
        <f>HYPERLINK("https://media.infra-m.ru/2112/2112889/cover/2112889.jpg", "Обложка")</f>
        <v>Обложка</v>
      </c>
      <c r="V332" s="28" t="str">
        <f>HYPERLINK("https://znanium.com/catalog/product/2112889", "Ознакомиться")</f>
        <v>Ознакомиться</v>
      </c>
      <c r="W332" s="8" t="s">
        <v>107</v>
      </c>
      <c r="X332" s="6"/>
      <c r="Y332" s="6"/>
      <c r="Z332" s="6"/>
      <c r="AA332" s="6" t="s">
        <v>144</v>
      </c>
    </row>
    <row r="333" spans="1:27" s="4" customFormat="1" ht="51.95" customHeight="1">
      <c r="A333" s="5">
        <v>0</v>
      </c>
      <c r="B333" s="6" t="s">
        <v>2157</v>
      </c>
      <c r="C333" s="13">
        <v>1994</v>
      </c>
      <c r="D333" s="8" t="s">
        <v>2158</v>
      </c>
      <c r="E333" s="8" t="s">
        <v>2159</v>
      </c>
      <c r="F333" s="8" t="s">
        <v>2160</v>
      </c>
      <c r="G333" s="6" t="s">
        <v>37</v>
      </c>
      <c r="H333" s="6" t="s">
        <v>53</v>
      </c>
      <c r="I333" s="8" t="s">
        <v>84</v>
      </c>
      <c r="J333" s="9">
        <v>1</v>
      </c>
      <c r="K333" s="9">
        <v>608</v>
      </c>
      <c r="L333" s="9">
        <v>2024</v>
      </c>
      <c r="M333" s="8" t="s">
        <v>2161</v>
      </c>
      <c r="N333" s="8" t="s">
        <v>40</v>
      </c>
      <c r="O333" s="8" t="s">
        <v>41</v>
      </c>
      <c r="P333" s="6" t="s">
        <v>161</v>
      </c>
      <c r="Q333" s="8" t="s">
        <v>66</v>
      </c>
      <c r="R333" s="10" t="s">
        <v>95</v>
      </c>
      <c r="S333" s="11" t="s">
        <v>1154</v>
      </c>
      <c r="T333" s="6"/>
      <c r="U333" s="28" t="str">
        <f>HYPERLINK("https://media.infra-m.ru/2054/2054179/cover/2054179.jpg", "Обложка")</f>
        <v>Обложка</v>
      </c>
      <c r="V333" s="28" t="str">
        <f>HYPERLINK("https://znanium.com/catalog/product/1189949", "Ознакомиться")</f>
        <v>Ознакомиться</v>
      </c>
      <c r="W333" s="8" t="s">
        <v>189</v>
      </c>
      <c r="X333" s="6"/>
      <c r="Y333" s="6"/>
      <c r="Z333" s="6"/>
      <c r="AA333" s="6" t="s">
        <v>1888</v>
      </c>
    </row>
    <row r="334" spans="1:27" s="4" customFormat="1" ht="51.95" customHeight="1">
      <c r="A334" s="5">
        <v>0</v>
      </c>
      <c r="B334" s="6" t="s">
        <v>2162</v>
      </c>
      <c r="C334" s="13">
        <v>1174.9000000000001</v>
      </c>
      <c r="D334" s="8" t="s">
        <v>2163</v>
      </c>
      <c r="E334" s="8" t="s">
        <v>2164</v>
      </c>
      <c r="F334" s="8" t="s">
        <v>2165</v>
      </c>
      <c r="G334" s="6" t="s">
        <v>52</v>
      </c>
      <c r="H334" s="6" t="s">
        <v>113</v>
      </c>
      <c r="I334" s="8" t="s">
        <v>64</v>
      </c>
      <c r="J334" s="9">
        <v>1</v>
      </c>
      <c r="K334" s="9">
        <v>260</v>
      </c>
      <c r="L334" s="9">
        <v>2023</v>
      </c>
      <c r="M334" s="8" t="s">
        <v>2166</v>
      </c>
      <c r="N334" s="8" t="s">
        <v>40</v>
      </c>
      <c r="O334" s="8" t="s">
        <v>41</v>
      </c>
      <c r="P334" s="6" t="s">
        <v>42</v>
      </c>
      <c r="Q334" s="8" t="s">
        <v>66</v>
      </c>
      <c r="R334" s="10" t="s">
        <v>2167</v>
      </c>
      <c r="S334" s="11" t="s">
        <v>2168</v>
      </c>
      <c r="T334" s="6"/>
      <c r="U334" s="28" t="str">
        <f>HYPERLINK("https://media.infra-m.ru/1976/1976093/cover/1976093.jpg", "Обложка")</f>
        <v>Обложка</v>
      </c>
      <c r="V334" s="28" t="str">
        <f>HYPERLINK("https://znanium.com/catalog/product/1083293", "Ознакомиться")</f>
        <v>Ознакомиться</v>
      </c>
      <c r="W334" s="8" t="s">
        <v>204</v>
      </c>
      <c r="X334" s="6"/>
      <c r="Y334" s="6"/>
      <c r="Z334" s="6"/>
      <c r="AA334" s="6" t="s">
        <v>59</v>
      </c>
    </row>
    <row r="335" spans="1:27" s="4" customFormat="1" ht="51.95" customHeight="1">
      <c r="A335" s="5">
        <v>0</v>
      </c>
      <c r="B335" s="6" t="s">
        <v>2169</v>
      </c>
      <c r="C335" s="7">
        <v>820</v>
      </c>
      <c r="D335" s="8" t="s">
        <v>2170</v>
      </c>
      <c r="E335" s="8" t="s">
        <v>2150</v>
      </c>
      <c r="F335" s="8" t="s">
        <v>2171</v>
      </c>
      <c r="G335" s="6" t="s">
        <v>52</v>
      </c>
      <c r="H335" s="6" t="s">
        <v>149</v>
      </c>
      <c r="I335" s="8" t="s">
        <v>64</v>
      </c>
      <c r="J335" s="9">
        <v>1</v>
      </c>
      <c r="K335" s="9">
        <v>256</v>
      </c>
      <c r="L335" s="9">
        <v>2019</v>
      </c>
      <c r="M335" s="8" t="s">
        <v>2172</v>
      </c>
      <c r="N335" s="8" t="s">
        <v>40</v>
      </c>
      <c r="O335" s="8" t="s">
        <v>41</v>
      </c>
      <c r="P335" s="6" t="s">
        <v>42</v>
      </c>
      <c r="Q335" s="8" t="s">
        <v>66</v>
      </c>
      <c r="R335" s="10" t="s">
        <v>2167</v>
      </c>
      <c r="S335" s="11" t="s">
        <v>2173</v>
      </c>
      <c r="T335" s="6"/>
      <c r="U335" s="28" t="str">
        <f>HYPERLINK("https://media.infra-m.ru/1021/1021128/cover/1021128.jpg", "Обложка")</f>
        <v>Обложка</v>
      </c>
      <c r="V335" s="28" t="str">
        <f>HYPERLINK("https://znanium.com/catalog/product/1083293", "Ознакомиться")</f>
        <v>Ознакомиться</v>
      </c>
      <c r="W335" s="8" t="s">
        <v>204</v>
      </c>
      <c r="X335" s="6"/>
      <c r="Y335" s="6"/>
      <c r="Z335" s="6"/>
      <c r="AA335" s="6" t="s">
        <v>333</v>
      </c>
    </row>
    <row r="336" spans="1:27" s="4" customFormat="1" ht="51.95" customHeight="1">
      <c r="A336" s="5">
        <v>0</v>
      </c>
      <c r="B336" s="6" t="s">
        <v>2174</v>
      </c>
      <c r="C336" s="7">
        <v>934</v>
      </c>
      <c r="D336" s="8" t="s">
        <v>2175</v>
      </c>
      <c r="E336" s="8" t="s">
        <v>2176</v>
      </c>
      <c r="F336" s="8" t="s">
        <v>2177</v>
      </c>
      <c r="G336" s="6" t="s">
        <v>52</v>
      </c>
      <c r="H336" s="6" t="s">
        <v>149</v>
      </c>
      <c r="I336" s="8" t="s">
        <v>64</v>
      </c>
      <c r="J336" s="9">
        <v>1</v>
      </c>
      <c r="K336" s="9">
        <v>206</v>
      </c>
      <c r="L336" s="9">
        <v>2023</v>
      </c>
      <c r="M336" s="8" t="s">
        <v>2178</v>
      </c>
      <c r="N336" s="8" t="s">
        <v>40</v>
      </c>
      <c r="O336" s="8" t="s">
        <v>41</v>
      </c>
      <c r="P336" s="6" t="s">
        <v>42</v>
      </c>
      <c r="Q336" s="8" t="s">
        <v>66</v>
      </c>
      <c r="R336" s="10" t="s">
        <v>2179</v>
      </c>
      <c r="S336" s="11" t="s">
        <v>318</v>
      </c>
      <c r="T336" s="6"/>
      <c r="U336" s="28" t="str">
        <f>HYPERLINK("https://media.infra-m.ru/2030/2030885/cover/2030885.jpg", "Обложка")</f>
        <v>Обложка</v>
      </c>
      <c r="V336" s="28" t="str">
        <f>HYPERLINK("https://znanium.com/catalog/product/1189950", "Ознакомиться")</f>
        <v>Ознакомиться</v>
      </c>
      <c r="W336" s="8" t="s">
        <v>204</v>
      </c>
      <c r="X336" s="6"/>
      <c r="Y336" s="6"/>
      <c r="Z336" s="6" t="s">
        <v>713</v>
      </c>
      <c r="AA336" s="6" t="s">
        <v>226</v>
      </c>
    </row>
    <row r="337" spans="1:27" s="4" customFormat="1" ht="51.95" customHeight="1">
      <c r="A337" s="5">
        <v>0</v>
      </c>
      <c r="B337" s="6" t="s">
        <v>2180</v>
      </c>
      <c r="C337" s="7">
        <v>704.9</v>
      </c>
      <c r="D337" s="8" t="s">
        <v>2181</v>
      </c>
      <c r="E337" s="8" t="s">
        <v>2176</v>
      </c>
      <c r="F337" s="8" t="s">
        <v>2182</v>
      </c>
      <c r="G337" s="6" t="s">
        <v>37</v>
      </c>
      <c r="H337" s="6" t="s">
        <v>149</v>
      </c>
      <c r="I337" s="8" t="s">
        <v>54</v>
      </c>
      <c r="J337" s="9">
        <v>1</v>
      </c>
      <c r="K337" s="9">
        <v>206</v>
      </c>
      <c r="L337" s="9">
        <v>2020</v>
      </c>
      <c r="M337" s="8" t="s">
        <v>2183</v>
      </c>
      <c r="N337" s="8" t="s">
        <v>40</v>
      </c>
      <c r="O337" s="8" t="s">
        <v>41</v>
      </c>
      <c r="P337" s="6" t="s">
        <v>42</v>
      </c>
      <c r="Q337" s="8" t="s">
        <v>379</v>
      </c>
      <c r="R337" s="10" t="s">
        <v>2184</v>
      </c>
      <c r="S337" s="11" t="s">
        <v>2185</v>
      </c>
      <c r="T337" s="6"/>
      <c r="U337" s="28" t="str">
        <f>HYPERLINK("https://media.infra-m.ru/1044/1044505/cover/1044505.jpg", "Обложка")</f>
        <v>Обложка</v>
      </c>
      <c r="V337" s="12"/>
      <c r="W337" s="8" t="s">
        <v>204</v>
      </c>
      <c r="X337" s="6"/>
      <c r="Y337" s="6"/>
      <c r="Z337" s="6"/>
      <c r="AA337" s="6" t="s">
        <v>153</v>
      </c>
    </row>
    <row r="338" spans="1:27" s="4" customFormat="1" ht="42" customHeight="1">
      <c r="A338" s="5">
        <v>0</v>
      </c>
      <c r="B338" s="6" t="s">
        <v>2186</v>
      </c>
      <c r="C338" s="13">
        <v>1014</v>
      </c>
      <c r="D338" s="8" t="s">
        <v>2187</v>
      </c>
      <c r="E338" s="8" t="s">
        <v>2188</v>
      </c>
      <c r="F338" s="8" t="s">
        <v>2189</v>
      </c>
      <c r="G338" s="6" t="s">
        <v>52</v>
      </c>
      <c r="H338" s="6" t="s">
        <v>158</v>
      </c>
      <c r="I338" s="8"/>
      <c r="J338" s="9">
        <v>1</v>
      </c>
      <c r="K338" s="9">
        <v>208</v>
      </c>
      <c r="L338" s="9">
        <v>2024</v>
      </c>
      <c r="M338" s="8" t="s">
        <v>2190</v>
      </c>
      <c r="N338" s="8" t="s">
        <v>40</v>
      </c>
      <c r="O338" s="8" t="s">
        <v>41</v>
      </c>
      <c r="P338" s="6" t="s">
        <v>161</v>
      </c>
      <c r="Q338" s="8" t="s">
        <v>66</v>
      </c>
      <c r="R338" s="10" t="s">
        <v>1420</v>
      </c>
      <c r="S338" s="11"/>
      <c r="T338" s="6"/>
      <c r="U338" s="28" t="str">
        <f>HYPERLINK("https://media.infra-m.ru/2112/2112883/cover/2112883.jpg", "Обложка")</f>
        <v>Обложка</v>
      </c>
      <c r="V338" s="28" t="str">
        <f>HYPERLINK("https://znanium.com/catalog/product/2035597", "Ознакомиться")</f>
        <v>Ознакомиться</v>
      </c>
      <c r="W338" s="8" t="s">
        <v>164</v>
      </c>
      <c r="X338" s="6"/>
      <c r="Y338" s="6" t="s">
        <v>30</v>
      </c>
      <c r="Z338" s="6"/>
      <c r="AA338" s="6" t="s">
        <v>144</v>
      </c>
    </row>
    <row r="339" spans="1:27" s="4" customFormat="1" ht="51.95" customHeight="1">
      <c r="A339" s="5">
        <v>0</v>
      </c>
      <c r="B339" s="6" t="s">
        <v>2191</v>
      </c>
      <c r="C339" s="13">
        <v>1800</v>
      </c>
      <c r="D339" s="8" t="s">
        <v>2192</v>
      </c>
      <c r="E339" s="8" t="s">
        <v>2193</v>
      </c>
      <c r="F339" s="8" t="s">
        <v>2194</v>
      </c>
      <c r="G339" s="6" t="s">
        <v>52</v>
      </c>
      <c r="H339" s="6" t="s">
        <v>149</v>
      </c>
      <c r="I339" s="8" t="s">
        <v>75</v>
      </c>
      <c r="J339" s="9">
        <v>1</v>
      </c>
      <c r="K339" s="9">
        <v>400</v>
      </c>
      <c r="L339" s="9">
        <v>2023</v>
      </c>
      <c r="M339" s="8" t="s">
        <v>2195</v>
      </c>
      <c r="N339" s="8" t="s">
        <v>40</v>
      </c>
      <c r="O339" s="8" t="s">
        <v>41</v>
      </c>
      <c r="P339" s="6" t="s">
        <v>42</v>
      </c>
      <c r="Q339" s="8" t="s">
        <v>43</v>
      </c>
      <c r="R339" s="10" t="s">
        <v>2196</v>
      </c>
      <c r="S339" s="11" t="s">
        <v>2197</v>
      </c>
      <c r="T339" s="6"/>
      <c r="U339" s="28" t="str">
        <f>HYPERLINK("https://media.infra-m.ru/1971/1971872/cover/1971872.jpg", "Обложка")</f>
        <v>Обложка</v>
      </c>
      <c r="V339" s="28" t="str">
        <f>HYPERLINK("https://znanium.com/catalog/product/1971872", "Ознакомиться")</f>
        <v>Ознакомиться</v>
      </c>
      <c r="W339" s="8" t="s">
        <v>204</v>
      </c>
      <c r="X339" s="6"/>
      <c r="Y339" s="6"/>
      <c r="Z339" s="6"/>
      <c r="AA339" s="6" t="s">
        <v>153</v>
      </c>
    </row>
    <row r="340" spans="1:27" s="4" customFormat="1" ht="51.95" customHeight="1">
      <c r="A340" s="5">
        <v>0</v>
      </c>
      <c r="B340" s="6" t="s">
        <v>2198</v>
      </c>
      <c r="C340" s="13">
        <v>1804.9</v>
      </c>
      <c r="D340" s="8" t="s">
        <v>2199</v>
      </c>
      <c r="E340" s="8" t="s">
        <v>2193</v>
      </c>
      <c r="F340" s="8" t="s">
        <v>2194</v>
      </c>
      <c r="G340" s="6" t="s">
        <v>52</v>
      </c>
      <c r="H340" s="6" t="s">
        <v>149</v>
      </c>
      <c r="I340" s="8" t="s">
        <v>64</v>
      </c>
      <c r="J340" s="9">
        <v>1</v>
      </c>
      <c r="K340" s="9">
        <v>400</v>
      </c>
      <c r="L340" s="9">
        <v>2023</v>
      </c>
      <c r="M340" s="8" t="s">
        <v>2200</v>
      </c>
      <c r="N340" s="8" t="s">
        <v>40</v>
      </c>
      <c r="O340" s="8" t="s">
        <v>41</v>
      </c>
      <c r="P340" s="6" t="s">
        <v>42</v>
      </c>
      <c r="Q340" s="8" t="s">
        <v>66</v>
      </c>
      <c r="R340" s="10" t="s">
        <v>203</v>
      </c>
      <c r="S340" s="11" t="s">
        <v>1918</v>
      </c>
      <c r="T340" s="6"/>
      <c r="U340" s="28" t="str">
        <f>HYPERLINK("https://media.infra-m.ru/2008/2008793/cover/2008793.jpg", "Обложка")</f>
        <v>Обложка</v>
      </c>
      <c r="V340" s="28" t="str">
        <f>HYPERLINK("https://znanium.com/catalog/product/1895679", "Ознакомиться")</f>
        <v>Ознакомиться</v>
      </c>
      <c r="W340" s="8" t="s">
        <v>204</v>
      </c>
      <c r="X340" s="6"/>
      <c r="Y340" s="6"/>
      <c r="Z340" s="6" t="s">
        <v>69</v>
      </c>
      <c r="AA340" s="6" t="s">
        <v>120</v>
      </c>
    </row>
    <row r="341" spans="1:27" s="4" customFormat="1" ht="51.95" customHeight="1">
      <c r="A341" s="5">
        <v>0</v>
      </c>
      <c r="B341" s="6" t="s">
        <v>2201</v>
      </c>
      <c r="C341" s="13">
        <v>1060</v>
      </c>
      <c r="D341" s="8" t="s">
        <v>2202</v>
      </c>
      <c r="E341" s="8" t="s">
        <v>2203</v>
      </c>
      <c r="F341" s="8" t="s">
        <v>451</v>
      </c>
      <c r="G341" s="6" t="s">
        <v>52</v>
      </c>
      <c r="H341" s="6" t="s">
        <v>113</v>
      </c>
      <c r="I341" s="8" t="s">
        <v>64</v>
      </c>
      <c r="J341" s="9">
        <v>1</v>
      </c>
      <c r="K341" s="9">
        <v>234</v>
      </c>
      <c r="L341" s="9">
        <v>2023</v>
      </c>
      <c r="M341" s="8" t="s">
        <v>2204</v>
      </c>
      <c r="N341" s="8" t="s">
        <v>40</v>
      </c>
      <c r="O341" s="8" t="s">
        <v>41</v>
      </c>
      <c r="P341" s="6" t="s">
        <v>42</v>
      </c>
      <c r="Q341" s="8" t="s">
        <v>66</v>
      </c>
      <c r="R341" s="10" t="s">
        <v>2205</v>
      </c>
      <c r="S341" s="11" t="s">
        <v>2206</v>
      </c>
      <c r="T341" s="6"/>
      <c r="U341" s="28" t="str">
        <f>HYPERLINK("https://media.infra-m.ru/2012/2012571/cover/2012571.jpg", "Обложка")</f>
        <v>Обложка</v>
      </c>
      <c r="V341" s="28" t="str">
        <f>HYPERLINK("https://znanium.com/catalog/product/2012571", "Ознакомиться")</f>
        <v>Ознакомиться</v>
      </c>
      <c r="W341" s="8"/>
      <c r="X341" s="6"/>
      <c r="Y341" s="6"/>
      <c r="Z341" s="6" t="s">
        <v>69</v>
      </c>
      <c r="AA341" s="6" t="s">
        <v>245</v>
      </c>
    </row>
    <row r="342" spans="1:27" s="4" customFormat="1" ht="51.95" customHeight="1">
      <c r="A342" s="5">
        <v>0</v>
      </c>
      <c r="B342" s="6" t="s">
        <v>2207</v>
      </c>
      <c r="C342" s="13">
        <v>1050</v>
      </c>
      <c r="D342" s="8" t="s">
        <v>2208</v>
      </c>
      <c r="E342" s="8" t="s">
        <v>2203</v>
      </c>
      <c r="F342" s="8" t="s">
        <v>451</v>
      </c>
      <c r="G342" s="6" t="s">
        <v>52</v>
      </c>
      <c r="H342" s="6" t="s">
        <v>113</v>
      </c>
      <c r="I342" s="8" t="s">
        <v>75</v>
      </c>
      <c r="J342" s="9">
        <v>1</v>
      </c>
      <c r="K342" s="9">
        <v>234</v>
      </c>
      <c r="L342" s="9">
        <v>2023</v>
      </c>
      <c r="M342" s="8" t="s">
        <v>2209</v>
      </c>
      <c r="N342" s="8" t="s">
        <v>40</v>
      </c>
      <c r="O342" s="8" t="s">
        <v>41</v>
      </c>
      <c r="P342" s="6" t="s">
        <v>42</v>
      </c>
      <c r="Q342" s="8" t="s">
        <v>43</v>
      </c>
      <c r="R342" s="10" t="s">
        <v>2210</v>
      </c>
      <c r="S342" s="11" t="s">
        <v>2211</v>
      </c>
      <c r="T342" s="6"/>
      <c r="U342" s="28" t="str">
        <f>HYPERLINK("https://media.infra-m.ru/1930/1930715/cover/1930715.jpg", "Обложка")</f>
        <v>Обложка</v>
      </c>
      <c r="V342" s="28" t="str">
        <f>HYPERLINK("https://znanium.com/catalog/product/1930715", "Ознакомиться")</f>
        <v>Ознакомиться</v>
      </c>
      <c r="W342" s="8"/>
      <c r="X342" s="6"/>
      <c r="Y342" s="6"/>
      <c r="Z342" s="6"/>
      <c r="AA342" s="6" t="s">
        <v>253</v>
      </c>
    </row>
    <row r="343" spans="1:27" s="4" customFormat="1" ht="51.95" customHeight="1">
      <c r="A343" s="5">
        <v>0</v>
      </c>
      <c r="B343" s="6" t="s">
        <v>2212</v>
      </c>
      <c r="C343" s="7">
        <v>834</v>
      </c>
      <c r="D343" s="8" t="s">
        <v>2213</v>
      </c>
      <c r="E343" s="8" t="s">
        <v>2214</v>
      </c>
      <c r="F343" s="8" t="s">
        <v>2215</v>
      </c>
      <c r="G343" s="6" t="s">
        <v>74</v>
      </c>
      <c r="H343" s="6" t="s">
        <v>38</v>
      </c>
      <c r="I343" s="8" t="s">
        <v>1180</v>
      </c>
      <c r="J343" s="9">
        <v>1</v>
      </c>
      <c r="K343" s="9">
        <v>184</v>
      </c>
      <c r="L343" s="9">
        <v>2023</v>
      </c>
      <c r="M343" s="8" t="s">
        <v>2216</v>
      </c>
      <c r="N343" s="8" t="s">
        <v>40</v>
      </c>
      <c r="O343" s="8" t="s">
        <v>41</v>
      </c>
      <c r="P343" s="6" t="s">
        <v>133</v>
      </c>
      <c r="Q343" s="8" t="s">
        <v>125</v>
      </c>
      <c r="R343" s="10" t="s">
        <v>2217</v>
      </c>
      <c r="S343" s="11"/>
      <c r="T343" s="6"/>
      <c r="U343" s="28" t="str">
        <f>HYPERLINK("https://media.infra-m.ru/2006/2006035/cover/2006035.jpg", "Обложка")</f>
        <v>Обложка</v>
      </c>
      <c r="V343" s="28" t="str">
        <f>HYPERLINK("https://znanium.com/catalog/product/1028962", "Ознакомиться")</f>
        <v>Ознакомиться</v>
      </c>
      <c r="W343" s="8" t="s">
        <v>2218</v>
      </c>
      <c r="X343" s="6"/>
      <c r="Y343" s="6"/>
      <c r="Z343" s="6"/>
      <c r="AA343" s="6" t="s">
        <v>144</v>
      </c>
    </row>
    <row r="344" spans="1:27" s="4" customFormat="1" ht="42" customHeight="1">
      <c r="A344" s="5">
        <v>0</v>
      </c>
      <c r="B344" s="6" t="s">
        <v>2219</v>
      </c>
      <c r="C344" s="7">
        <v>500</v>
      </c>
      <c r="D344" s="8" t="s">
        <v>2220</v>
      </c>
      <c r="E344" s="8" t="s">
        <v>2221</v>
      </c>
      <c r="F344" s="8" t="s">
        <v>2222</v>
      </c>
      <c r="G344" s="6" t="s">
        <v>74</v>
      </c>
      <c r="H344" s="6" t="s">
        <v>113</v>
      </c>
      <c r="I344" s="8"/>
      <c r="J344" s="9">
        <v>1</v>
      </c>
      <c r="K344" s="9">
        <v>134</v>
      </c>
      <c r="L344" s="9">
        <v>2023</v>
      </c>
      <c r="M344" s="8" t="s">
        <v>2223</v>
      </c>
      <c r="N344" s="8" t="s">
        <v>40</v>
      </c>
      <c r="O344" s="8" t="s">
        <v>41</v>
      </c>
      <c r="P344" s="6" t="s">
        <v>2224</v>
      </c>
      <c r="Q344" s="8" t="s">
        <v>125</v>
      </c>
      <c r="R344" s="10" t="s">
        <v>2225</v>
      </c>
      <c r="S344" s="11"/>
      <c r="T344" s="6"/>
      <c r="U344" s="28" t="str">
        <f>HYPERLINK("https://media.infra-m.ru/1946/1946424/cover/1946424.jpg", "Обложка")</f>
        <v>Обложка</v>
      </c>
      <c r="V344" s="12"/>
      <c r="W344" s="8" t="s">
        <v>152</v>
      </c>
      <c r="X344" s="6" t="s">
        <v>274</v>
      </c>
      <c r="Y344" s="6"/>
      <c r="Z344" s="6"/>
      <c r="AA344" s="6" t="s">
        <v>687</v>
      </c>
    </row>
    <row r="345" spans="1:27" s="4" customFormat="1" ht="51.95" customHeight="1">
      <c r="A345" s="5">
        <v>0</v>
      </c>
      <c r="B345" s="6" t="s">
        <v>2226</v>
      </c>
      <c r="C345" s="7">
        <v>385</v>
      </c>
      <c r="D345" s="8" t="s">
        <v>2227</v>
      </c>
      <c r="E345" s="8" t="s">
        <v>2228</v>
      </c>
      <c r="F345" s="8" t="s">
        <v>2222</v>
      </c>
      <c r="G345" s="6" t="s">
        <v>74</v>
      </c>
      <c r="H345" s="6" t="s">
        <v>113</v>
      </c>
      <c r="I345" s="8"/>
      <c r="J345" s="9">
        <v>1</v>
      </c>
      <c r="K345" s="9">
        <v>135</v>
      </c>
      <c r="L345" s="9">
        <v>2023</v>
      </c>
      <c r="M345" s="8" t="s">
        <v>2229</v>
      </c>
      <c r="N345" s="8" t="s">
        <v>40</v>
      </c>
      <c r="O345" s="8" t="s">
        <v>41</v>
      </c>
      <c r="P345" s="6" t="s">
        <v>2230</v>
      </c>
      <c r="Q345" s="8" t="s">
        <v>125</v>
      </c>
      <c r="R345" s="10" t="s">
        <v>2231</v>
      </c>
      <c r="S345" s="11"/>
      <c r="T345" s="6"/>
      <c r="U345" s="28" t="str">
        <f>HYPERLINK("https://media.infra-m.ru/1984/1984950/cover/1984950.jpg", "Обложка")</f>
        <v>Обложка</v>
      </c>
      <c r="V345" s="12"/>
      <c r="W345" s="8" t="s">
        <v>152</v>
      </c>
      <c r="X345" s="6" t="s">
        <v>2232</v>
      </c>
      <c r="Y345" s="6"/>
      <c r="Z345" s="6"/>
      <c r="AA345" s="6" t="s">
        <v>687</v>
      </c>
    </row>
    <row r="346" spans="1:27" s="4" customFormat="1" ht="51.95" customHeight="1">
      <c r="A346" s="5">
        <v>0</v>
      </c>
      <c r="B346" s="6" t="s">
        <v>2233</v>
      </c>
      <c r="C346" s="13">
        <v>1144</v>
      </c>
      <c r="D346" s="8" t="s">
        <v>2234</v>
      </c>
      <c r="E346" s="8" t="s">
        <v>2235</v>
      </c>
      <c r="F346" s="8" t="s">
        <v>2107</v>
      </c>
      <c r="G346" s="6" t="s">
        <v>52</v>
      </c>
      <c r="H346" s="6" t="s">
        <v>113</v>
      </c>
      <c r="I346" s="8" t="s">
        <v>75</v>
      </c>
      <c r="J346" s="9">
        <v>1</v>
      </c>
      <c r="K346" s="9">
        <v>248</v>
      </c>
      <c r="L346" s="9">
        <v>2024</v>
      </c>
      <c r="M346" s="8" t="s">
        <v>2236</v>
      </c>
      <c r="N346" s="8" t="s">
        <v>40</v>
      </c>
      <c r="O346" s="8" t="s">
        <v>41</v>
      </c>
      <c r="P346" s="6" t="s">
        <v>42</v>
      </c>
      <c r="Q346" s="8" t="s">
        <v>43</v>
      </c>
      <c r="R346" s="10" t="s">
        <v>2237</v>
      </c>
      <c r="S346" s="11" t="s">
        <v>2238</v>
      </c>
      <c r="T346" s="6"/>
      <c r="U346" s="28" t="str">
        <f>HYPERLINK("https://media.infra-m.ru/2087/2087268/cover/2087268.jpg", "Обложка")</f>
        <v>Обложка</v>
      </c>
      <c r="V346" s="28" t="str">
        <f>HYPERLINK("https://znanium.com/catalog/product/1860098", "Ознакомиться")</f>
        <v>Ознакомиться</v>
      </c>
      <c r="W346" s="8" t="s">
        <v>495</v>
      </c>
      <c r="X346" s="6"/>
      <c r="Y346" s="6"/>
      <c r="Z346" s="6"/>
      <c r="AA346" s="6" t="s">
        <v>165</v>
      </c>
    </row>
    <row r="347" spans="1:27" s="4" customFormat="1" ht="51.95" customHeight="1">
      <c r="A347" s="5">
        <v>0</v>
      </c>
      <c r="B347" s="6" t="s">
        <v>2239</v>
      </c>
      <c r="C347" s="13">
        <v>1124</v>
      </c>
      <c r="D347" s="8" t="s">
        <v>2240</v>
      </c>
      <c r="E347" s="8" t="s">
        <v>2235</v>
      </c>
      <c r="F347" s="8" t="s">
        <v>2107</v>
      </c>
      <c r="G347" s="6" t="s">
        <v>37</v>
      </c>
      <c r="H347" s="6" t="s">
        <v>113</v>
      </c>
      <c r="I347" s="8" t="s">
        <v>64</v>
      </c>
      <c r="J347" s="9">
        <v>1</v>
      </c>
      <c r="K347" s="9">
        <v>248</v>
      </c>
      <c r="L347" s="9">
        <v>2023</v>
      </c>
      <c r="M347" s="8" t="s">
        <v>2241</v>
      </c>
      <c r="N347" s="8" t="s">
        <v>40</v>
      </c>
      <c r="O347" s="8" t="s">
        <v>41</v>
      </c>
      <c r="P347" s="6" t="s">
        <v>42</v>
      </c>
      <c r="Q347" s="8" t="s">
        <v>66</v>
      </c>
      <c r="R347" s="10" t="s">
        <v>203</v>
      </c>
      <c r="S347" s="11" t="s">
        <v>286</v>
      </c>
      <c r="T347" s="6"/>
      <c r="U347" s="28" t="str">
        <f>HYPERLINK("https://media.infra-m.ru/2045/2045993/cover/2045993.jpg", "Обложка")</f>
        <v>Обложка</v>
      </c>
      <c r="V347" s="28" t="str">
        <f>HYPERLINK("https://znanium.com/catalog/product/1189952", "Ознакомиться")</f>
        <v>Ознакомиться</v>
      </c>
      <c r="W347" s="8" t="s">
        <v>495</v>
      </c>
      <c r="X347" s="6"/>
      <c r="Y347" s="6"/>
      <c r="Z347" s="6" t="s">
        <v>69</v>
      </c>
      <c r="AA347" s="6" t="s">
        <v>253</v>
      </c>
    </row>
    <row r="348" spans="1:27" s="4" customFormat="1" ht="51.95" customHeight="1">
      <c r="A348" s="5">
        <v>0</v>
      </c>
      <c r="B348" s="6" t="s">
        <v>2242</v>
      </c>
      <c r="C348" s="7">
        <v>994.9</v>
      </c>
      <c r="D348" s="8" t="s">
        <v>2243</v>
      </c>
      <c r="E348" s="8" t="s">
        <v>2244</v>
      </c>
      <c r="F348" s="8" t="s">
        <v>2245</v>
      </c>
      <c r="G348" s="6" t="s">
        <v>52</v>
      </c>
      <c r="H348" s="6" t="s">
        <v>113</v>
      </c>
      <c r="I348" s="8" t="s">
        <v>368</v>
      </c>
      <c r="J348" s="9">
        <v>1</v>
      </c>
      <c r="K348" s="9">
        <v>211</v>
      </c>
      <c r="L348" s="9">
        <v>2023</v>
      </c>
      <c r="M348" s="8" t="s">
        <v>2246</v>
      </c>
      <c r="N348" s="8" t="s">
        <v>40</v>
      </c>
      <c r="O348" s="8" t="s">
        <v>41</v>
      </c>
      <c r="P348" s="6" t="s">
        <v>42</v>
      </c>
      <c r="Q348" s="8" t="s">
        <v>43</v>
      </c>
      <c r="R348" s="10" t="s">
        <v>2247</v>
      </c>
      <c r="S348" s="11" t="s">
        <v>2248</v>
      </c>
      <c r="T348" s="6"/>
      <c r="U348" s="28" t="str">
        <f>HYPERLINK("https://media.infra-m.ru/1897/1897680/cover/1897680.jpg", "Обложка")</f>
        <v>Обложка</v>
      </c>
      <c r="V348" s="28" t="str">
        <f>HYPERLINK("https://znanium.com/catalog/product/1771045", "Ознакомиться")</f>
        <v>Ознакомиться</v>
      </c>
      <c r="W348" s="8" t="s">
        <v>46</v>
      </c>
      <c r="X348" s="6"/>
      <c r="Y348" s="6"/>
      <c r="Z348" s="6"/>
      <c r="AA348" s="6" t="s">
        <v>226</v>
      </c>
    </row>
    <row r="349" spans="1:27" s="4" customFormat="1" ht="51.95" customHeight="1">
      <c r="A349" s="5">
        <v>0</v>
      </c>
      <c r="B349" s="6" t="s">
        <v>2249</v>
      </c>
      <c r="C349" s="13">
        <v>1550</v>
      </c>
      <c r="D349" s="8" t="s">
        <v>2250</v>
      </c>
      <c r="E349" s="8" t="s">
        <v>2251</v>
      </c>
      <c r="F349" s="8" t="s">
        <v>2252</v>
      </c>
      <c r="G349" s="6" t="s">
        <v>52</v>
      </c>
      <c r="H349" s="6" t="s">
        <v>113</v>
      </c>
      <c r="I349" s="8" t="s">
        <v>75</v>
      </c>
      <c r="J349" s="9">
        <v>1</v>
      </c>
      <c r="K349" s="9">
        <v>345</v>
      </c>
      <c r="L349" s="9">
        <v>2023</v>
      </c>
      <c r="M349" s="8" t="s">
        <v>2253</v>
      </c>
      <c r="N349" s="8" t="s">
        <v>40</v>
      </c>
      <c r="O349" s="8" t="s">
        <v>41</v>
      </c>
      <c r="P349" s="6" t="s">
        <v>42</v>
      </c>
      <c r="Q349" s="8" t="s">
        <v>43</v>
      </c>
      <c r="R349" s="10" t="s">
        <v>2254</v>
      </c>
      <c r="S349" s="11" t="s">
        <v>2255</v>
      </c>
      <c r="T349" s="6"/>
      <c r="U349" s="28" t="str">
        <f>HYPERLINK("https://media.infra-m.ru/1960/1960945/cover/1960945.jpg", "Обложка")</f>
        <v>Обложка</v>
      </c>
      <c r="V349" s="28" t="str">
        <f>HYPERLINK("https://znanium.com/catalog/product/1960945", "Ознакомиться")</f>
        <v>Ознакомиться</v>
      </c>
      <c r="W349" s="8" t="s">
        <v>495</v>
      </c>
      <c r="X349" s="6"/>
      <c r="Y349" s="6"/>
      <c r="Z349" s="6"/>
      <c r="AA349" s="6" t="s">
        <v>226</v>
      </c>
    </row>
    <row r="350" spans="1:27" s="4" customFormat="1" ht="51.95" customHeight="1">
      <c r="A350" s="5">
        <v>0</v>
      </c>
      <c r="B350" s="6" t="s">
        <v>2256</v>
      </c>
      <c r="C350" s="13">
        <v>1554</v>
      </c>
      <c r="D350" s="8" t="s">
        <v>2257</v>
      </c>
      <c r="E350" s="8" t="s">
        <v>2251</v>
      </c>
      <c r="F350" s="8" t="s">
        <v>2252</v>
      </c>
      <c r="G350" s="6" t="s">
        <v>52</v>
      </c>
      <c r="H350" s="6" t="s">
        <v>113</v>
      </c>
      <c r="I350" s="8" t="s">
        <v>64</v>
      </c>
      <c r="J350" s="9">
        <v>1</v>
      </c>
      <c r="K350" s="9">
        <v>345</v>
      </c>
      <c r="L350" s="9">
        <v>2023</v>
      </c>
      <c r="M350" s="8" t="s">
        <v>2258</v>
      </c>
      <c r="N350" s="8" t="s">
        <v>40</v>
      </c>
      <c r="O350" s="8" t="s">
        <v>41</v>
      </c>
      <c r="P350" s="6" t="s">
        <v>42</v>
      </c>
      <c r="Q350" s="8" t="s">
        <v>66</v>
      </c>
      <c r="R350" s="10" t="s">
        <v>2259</v>
      </c>
      <c r="S350" s="11" t="s">
        <v>286</v>
      </c>
      <c r="T350" s="6"/>
      <c r="U350" s="28" t="str">
        <f>HYPERLINK("https://media.infra-m.ru/1989/1989254/cover/1989254.jpg", "Обложка")</f>
        <v>Обложка</v>
      </c>
      <c r="V350" s="28" t="str">
        <f>HYPERLINK("https://znanium.com/catalog/product/1189953", "Ознакомиться")</f>
        <v>Ознакомиться</v>
      </c>
      <c r="W350" s="8" t="s">
        <v>495</v>
      </c>
      <c r="X350" s="6"/>
      <c r="Y350" s="6"/>
      <c r="Z350" s="6" t="s">
        <v>69</v>
      </c>
      <c r="AA350" s="6" t="s">
        <v>253</v>
      </c>
    </row>
    <row r="351" spans="1:27" s="4" customFormat="1" ht="44.1" customHeight="1">
      <c r="A351" s="5">
        <v>0</v>
      </c>
      <c r="B351" s="6" t="s">
        <v>2260</v>
      </c>
      <c r="C351" s="7">
        <v>584</v>
      </c>
      <c r="D351" s="8" t="s">
        <v>2261</v>
      </c>
      <c r="E351" s="8" t="s">
        <v>2262</v>
      </c>
      <c r="F351" s="8" t="s">
        <v>2263</v>
      </c>
      <c r="G351" s="6" t="s">
        <v>74</v>
      </c>
      <c r="H351" s="6" t="s">
        <v>113</v>
      </c>
      <c r="I351" s="8" t="s">
        <v>131</v>
      </c>
      <c r="J351" s="9">
        <v>1</v>
      </c>
      <c r="K351" s="9">
        <v>130</v>
      </c>
      <c r="L351" s="9">
        <v>2023</v>
      </c>
      <c r="M351" s="8" t="s">
        <v>2264</v>
      </c>
      <c r="N351" s="8" t="s">
        <v>40</v>
      </c>
      <c r="O351" s="8" t="s">
        <v>41</v>
      </c>
      <c r="P351" s="6" t="s">
        <v>133</v>
      </c>
      <c r="Q351" s="8" t="s">
        <v>125</v>
      </c>
      <c r="R351" s="10" t="s">
        <v>2265</v>
      </c>
      <c r="S351" s="11"/>
      <c r="T351" s="6"/>
      <c r="U351" s="28" t="str">
        <f>HYPERLINK("https://media.infra-m.ru/2006/2006859/cover/2006859.jpg", "Обложка")</f>
        <v>Обложка</v>
      </c>
      <c r="V351" s="12"/>
      <c r="W351" s="8" t="s">
        <v>135</v>
      </c>
      <c r="X351" s="6"/>
      <c r="Y351" s="6"/>
      <c r="Z351" s="6"/>
      <c r="AA351" s="6" t="s">
        <v>120</v>
      </c>
    </row>
    <row r="352" spans="1:27" s="4" customFormat="1" ht="51.95" customHeight="1">
      <c r="A352" s="5">
        <v>0</v>
      </c>
      <c r="B352" s="6" t="s">
        <v>2266</v>
      </c>
      <c r="C352" s="13">
        <v>1180</v>
      </c>
      <c r="D352" s="8" t="s">
        <v>2267</v>
      </c>
      <c r="E352" s="8" t="s">
        <v>2268</v>
      </c>
      <c r="F352" s="8" t="s">
        <v>2269</v>
      </c>
      <c r="G352" s="6" t="s">
        <v>52</v>
      </c>
      <c r="H352" s="6" t="s">
        <v>83</v>
      </c>
      <c r="I352" s="8" t="s">
        <v>84</v>
      </c>
      <c r="J352" s="9">
        <v>1</v>
      </c>
      <c r="K352" s="9">
        <v>262</v>
      </c>
      <c r="L352" s="9">
        <v>2023</v>
      </c>
      <c r="M352" s="8" t="s">
        <v>2270</v>
      </c>
      <c r="N352" s="8" t="s">
        <v>40</v>
      </c>
      <c r="O352" s="8" t="s">
        <v>41</v>
      </c>
      <c r="P352" s="6" t="s">
        <v>42</v>
      </c>
      <c r="Q352" s="8" t="s">
        <v>43</v>
      </c>
      <c r="R352" s="10" t="s">
        <v>2271</v>
      </c>
      <c r="S352" s="11"/>
      <c r="T352" s="6"/>
      <c r="U352" s="28" t="str">
        <f>HYPERLINK("https://media.infra-m.ru/1965/1965768/cover/1965768.jpg", "Обложка")</f>
        <v>Обложка</v>
      </c>
      <c r="V352" s="28" t="str">
        <f>HYPERLINK("https://znanium.com/catalog/product/1874633", "Ознакомиться")</f>
        <v>Ознакомиться</v>
      </c>
      <c r="W352" s="8" t="s">
        <v>304</v>
      </c>
      <c r="X352" s="6"/>
      <c r="Y352" s="6"/>
      <c r="Z352" s="6"/>
      <c r="AA352" s="6" t="s">
        <v>226</v>
      </c>
    </row>
    <row r="353" spans="1:27" s="4" customFormat="1" ht="42" customHeight="1">
      <c r="A353" s="5">
        <v>0</v>
      </c>
      <c r="B353" s="6" t="s">
        <v>2272</v>
      </c>
      <c r="C353" s="13">
        <v>1440</v>
      </c>
      <c r="D353" s="8" t="s">
        <v>2273</v>
      </c>
      <c r="E353" s="8" t="s">
        <v>2274</v>
      </c>
      <c r="F353" s="8" t="s">
        <v>1412</v>
      </c>
      <c r="G353" s="6" t="s">
        <v>52</v>
      </c>
      <c r="H353" s="6" t="s">
        <v>158</v>
      </c>
      <c r="I353" s="8" t="s">
        <v>64</v>
      </c>
      <c r="J353" s="9">
        <v>1</v>
      </c>
      <c r="K353" s="9">
        <v>320</v>
      </c>
      <c r="L353" s="9">
        <v>2023</v>
      </c>
      <c r="M353" s="8" t="s">
        <v>2275</v>
      </c>
      <c r="N353" s="8" t="s">
        <v>40</v>
      </c>
      <c r="O353" s="8" t="s">
        <v>41</v>
      </c>
      <c r="P353" s="6" t="s">
        <v>161</v>
      </c>
      <c r="Q353" s="8" t="s">
        <v>66</v>
      </c>
      <c r="R353" s="10" t="s">
        <v>2276</v>
      </c>
      <c r="S353" s="11"/>
      <c r="T353" s="6"/>
      <c r="U353" s="28" t="str">
        <f>HYPERLINK("https://media.infra-m.ru/2002/2002607/cover/2002607.jpg", "Обложка")</f>
        <v>Обложка</v>
      </c>
      <c r="V353" s="28" t="str">
        <f>HYPERLINK("https://znanium.com/catalog/product/2002607", "Ознакомиться")</f>
        <v>Ознакомиться</v>
      </c>
      <c r="W353" s="8" t="s">
        <v>107</v>
      </c>
      <c r="X353" s="6"/>
      <c r="Y353" s="6"/>
      <c r="Z353" s="6"/>
      <c r="AA353" s="6" t="s">
        <v>144</v>
      </c>
    </row>
    <row r="354" spans="1:27" s="4" customFormat="1" ht="51.95" customHeight="1">
      <c r="A354" s="5">
        <v>0</v>
      </c>
      <c r="B354" s="6" t="s">
        <v>2277</v>
      </c>
      <c r="C354" s="7">
        <v>810</v>
      </c>
      <c r="D354" s="8" t="s">
        <v>2278</v>
      </c>
      <c r="E354" s="8" t="s">
        <v>2279</v>
      </c>
      <c r="F354" s="8" t="s">
        <v>2280</v>
      </c>
      <c r="G354" s="6" t="s">
        <v>52</v>
      </c>
      <c r="H354" s="6" t="s">
        <v>83</v>
      </c>
      <c r="I354" s="8" t="s">
        <v>84</v>
      </c>
      <c r="J354" s="9">
        <v>1</v>
      </c>
      <c r="K354" s="9">
        <v>204</v>
      </c>
      <c r="L354" s="9">
        <v>2022</v>
      </c>
      <c r="M354" s="8" t="s">
        <v>2281</v>
      </c>
      <c r="N354" s="8" t="s">
        <v>40</v>
      </c>
      <c r="O354" s="8" t="s">
        <v>41</v>
      </c>
      <c r="P354" s="6" t="s">
        <v>42</v>
      </c>
      <c r="Q354" s="8" t="s">
        <v>43</v>
      </c>
      <c r="R354" s="10" t="s">
        <v>2282</v>
      </c>
      <c r="S354" s="11"/>
      <c r="T354" s="6"/>
      <c r="U354" s="28" t="str">
        <f>HYPERLINK("https://media.infra-m.ru/1851/1851140/cover/1851140.jpg", "Обложка")</f>
        <v>Обложка</v>
      </c>
      <c r="V354" s="28" t="str">
        <f>HYPERLINK("https://znanium.com/catalog/product/1851140", "Ознакомиться")</f>
        <v>Ознакомиться</v>
      </c>
      <c r="W354" s="8" t="s">
        <v>2283</v>
      </c>
      <c r="X354" s="6"/>
      <c r="Y354" s="6"/>
      <c r="Z354" s="6"/>
      <c r="AA354" s="6" t="s">
        <v>165</v>
      </c>
    </row>
    <row r="355" spans="1:27" s="4" customFormat="1" ht="42" customHeight="1">
      <c r="A355" s="5">
        <v>0</v>
      </c>
      <c r="B355" s="6" t="s">
        <v>2284</v>
      </c>
      <c r="C355" s="13">
        <v>1400</v>
      </c>
      <c r="D355" s="8" t="s">
        <v>2285</v>
      </c>
      <c r="E355" s="8" t="s">
        <v>2286</v>
      </c>
      <c r="F355" s="8" t="s">
        <v>2287</v>
      </c>
      <c r="G355" s="6" t="s">
        <v>37</v>
      </c>
      <c r="H355" s="6" t="s">
        <v>83</v>
      </c>
      <c r="I355" s="8" t="s">
        <v>54</v>
      </c>
      <c r="J355" s="9">
        <v>1</v>
      </c>
      <c r="K355" s="9">
        <v>311</v>
      </c>
      <c r="L355" s="9">
        <v>2023</v>
      </c>
      <c r="M355" s="8" t="s">
        <v>2288</v>
      </c>
      <c r="N355" s="8" t="s">
        <v>40</v>
      </c>
      <c r="O355" s="8" t="s">
        <v>41</v>
      </c>
      <c r="P355" s="6" t="s">
        <v>161</v>
      </c>
      <c r="Q355" s="8" t="s">
        <v>379</v>
      </c>
      <c r="R355" s="10" t="s">
        <v>2289</v>
      </c>
      <c r="S355" s="11"/>
      <c r="T355" s="6"/>
      <c r="U355" s="28" t="str">
        <f>HYPERLINK("https://media.infra-m.ru/1931/1931495/cover/1931495.jpg", "Обложка")</f>
        <v>Обложка</v>
      </c>
      <c r="V355" s="28" t="str">
        <f>HYPERLINK("https://znanium.com/catalog/product/2019008", "Ознакомиться")</f>
        <v>Ознакомиться</v>
      </c>
      <c r="W355" s="8" t="s">
        <v>2290</v>
      </c>
      <c r="X355" s="6" t="s">
        <v>1113</v>
      </c>
      <c r="Y355" s="6"/>
      <c r="Z355" s="6"/>
      <c r="AA355" s="6" t="s">
        <v>687</v>
      </c>
    </row>
    <row r="356" spans="1:27" s="4" customFormat="1" ht="42" customHeight="1">
      <c r="A356" s="5">
        <v>0</v>
      </c>
      <c r="B356" s="6" t="s">
        <v>2291</v>
      </c>
      <c r="C356" s="7">
        <v>484</v>
      </c>
      <c r="D356" s="8" t="s">
        <v>2292</v>
      </c>
      <c r="E356" s="8" t="s">
        <v>2293</v>
      </c>
      <c r="F356" s="8" t="s">
        <v>2294</v>
      </c>
      <c r="G356" s="6" t="s">
        <v>74</v>
      </c>
      <c r="H356" s="6" t="s">
        <v>2295</v>
      </c>
      <c r="I356" s="8"/>
      <c r="J356" s="9">
        <v>1</v>
      </c>
      <c r="K356" s="9">
        <v>104</v>
      </c>
      <c r="L356" s="9">
        <v>2023</v>
      </c>
      <c r="M356" s="8" t="s">
        <v>2296</v>
      </c>
      <c r="N356" s="8" t="s">
        <v>40</v>
      </c>
      <c r="O356" s="8" t="s">
        <v>41</v>
      </c>
      <c r="P356" s="6" t="s">
        <v>42</v>
      </c>
      <c r="Q356" s="8" t="s">
        <v>43</v>
      </c>
      <c r="R356" s="10" t="s">
        <v>2297</v>
      </c>
      <c r="S356" s="11"/>
      <c r="T356" s="6"/>
      <c r="U356" s="28" t="str">
        <f>HYPERLINK("https://media.infra-m.ru/2051/2051414/cover/2051414.jpg", "Обложка")</f>
        <v>Обложка</v>
      </c>
      <c r="V356" s="28" t="str">
        <f>HYPERLINK("https://znanium.com/catalog/product/1234413", "Ознакомиться")</f>
        <v>Ознакомиться</v>
      </c>
      <c r="W356" s="8" t="s">
        <v>2298</v>
      </c>
      <c r="X356" s="6"/>
      <c r="Y356" s="6"/>
      <c r="Z356" s="6"/>
      <c r="AA356" s="6" t="s">
        <v>245</v>
      </c>
    </row>
    <row r="357" spans="1:27" s="4" customFormat="1" ht="51.95" customHeight="1">
      <c r="A357" s="5">
        <v>0</v>
      </c>
      <c r="B357" s="6" t="s">
        <v>2299</v>
      </c>
      <c r="C357" s="13">
        <v>1544</v>
      </c>
      <c r="D357" s="8" t="s">
        <v>2300</v>
      </c>
      <c r="E357" s="8" t="s">
        <v>2301</v>
      </c>
      <c r="F357" s="8" t="s">
        <v>2302</v>
      </c>
      <c r="G357" s="6" t="s">
        <v>52</v>
      </c>
      <c r="H357" s="6" t="s">
        <v>149</v>
      </c>
      <c r="I357" s="8" t="s">
        <v>64</v>
      </c>
      <c r="J357" s="9">
        <v>1</v>
      </c>
      <c r="K357" s="9">
        <v>336</v>
      </c>
      <c r="L357" s="9">
        <v>2024</v>
      </c>
      <c r="M357" s="8" t="s">
        <v>2303</v>
      </c>
      <c r="N357" s="8" t="s">
        <v>40</v>
      </c>
      <c r="O357" s="8" t="s">
        <v>41</v>
      </c>
      <c r="P357" s="6" t="s">
        <v>42</v>
      </c>
      <c r="Q357" s="8" t="s">
        <v>66</v>
      </c>
      <c r="R357" s="10" t="s">
        <v>2304</v>
      </c>
      <c r="S357" s="11" t="s">
        <v>1479</v>
      </c>
      <c r="T357" s="6"/>
      <c r="U357" s="28" t="str">
        <f>HYPERLINK("https://media.infra-m.ru/2104/2104836/cover/2104836.jpg", "Обложка")</f>
        <v>Обложка</v>
      </c>
      <c r="V357" s="28" t="str">
        <f>HYPERLINK("https://znanium.com/catalog/product/1896459", "Ознакомиться")</f>
        <v>Ознакомиться</v>
      </c>
      <c r="W357" s="8" t="s">
        <v>204</v>
      </c>
      <c r="X357" s="6"/>
      <c r="Y357" s="6"/>
      <c r="Z357" s="6"/>
      <c r="AA357" s="6" t="s">
        <v>153</v>
      </c>
    </row>
    <row r="358" spans="1:27" s="4" customFormat="1" ht="51.95" customHeight="1">
      <c r="A358" s="5">
        <v>0</v>
      </c>
      <c r="B358" s="6" t="s">
        <v>2305</v>
      </c>
      <c r="C358" s="7">
        <v>574.9</v>
      </c>
      <c r="D358" s="8" t="s">
        <v>2306</v>
      </c>
      <c r="E358" s="8" t="s">
        <v>2307</v>
      </c>
      <c r="F358" s="8" t="s">
        <v>2308</v>
      </c>
      <c r="G358" s="6" t="s">
        <v>74</v>
      </c>
      <c r="H358" s="6" t="s">
        <v>113</v>
      </c>
      <c r="I358" s="8" t="s">
        <v>75</v>
      </c>
      <c r="J358" s="9">
        <v>1</v>
      </c>
      <c r="K358" s="9">
        <v>152</v>
      </c>
      <c r="L358" s="9">
        <v>2022</v>
      </c>
      <c r="M358" s="8" t="s">
        <v>2309</v>
      </c>
      <c r="N358" s="8" t="s">
        <v>40</v>
      </c>
      <c r="O358" s="8" t="s">
        <v>41</v>
      </c>
      <c r="P358" s="6" t="s">
        <v>42</v>
      </c>
      <c r="Q358" s="8" t="s">
        <v>43</v>
      </c>
      <c r="R358" s="10" t="s">
        <v>607</v>
      </c>
      <c r="S358" s="11" t="s">
        <v>2310</v>
      </c>
      <c r="T358" s="6" t="s">
        <v>117</v>
      </c>
      <c r="U358" s="28" t="str">
        <f>HYPERLINK("https://media.infra-m.ru/1850/1850634/cover/1850634.jpg", "Обложка")</f>
        <v>Обложка</v>
      </c>
      <c r="V358" s="28" t="str">
        <f>HYPERLINK("https://znanium.com/catalog/product/1850634", "Ознакомиться")</f>
        <v>Ознакомиться</v>
      </c>
      <c r="W358" s="8" t="s">
        <v>304</v>
      </c>
      <c r="X358" s="6"/>
      <c r="Y358" s="6"/>
      <c r="Z358" s="6"/>
      <c r="AA358" s="6" t="s">
        <v>165</v>
      </c>
    </row>
    <row r="359" spans="1:27" s="4" customFormat="1" ht="42" customHeight="1">
      <c r="A359" s="5">
        <v>0</v>
      </c>
      <c r="B359" s="6" t="s">
        <v>2311</v>
      </c>
      <c r="C359" s="13">
        <v>2190</v>
      </c>
      <c r="D359" s="8" t="s">
        <v>2312</v>
      </c>
      <c r="E359" s="8" t="s">
        <v>2313</v>
      </c>
      <c r="F359" s="8" t="s">
        <v>1777</v>
      </c>
      <c r="G359" s="6" t="s">
        <v>37</v>
      </c>
      <c r="H359" s="6" t="s">
        <v>113</v>
      </c>
      <c r="I359" s="8" t="s">
        <v>75</v>
      </c>
      <c r="J359" s="9">
        <v>1</v>
      </c>
      <c r="K359" s="9">
        <v>580</v>
      </c>
      <c r="L359" s="9">
        <v>2023</v>
      </c>
      <c r="M359" s="8" t="s">
        <v>2314</v>
      </c>
      <c r="N359" s="8" t="s">
        <v>40</v>
      </c>
      <c r="O359" s="8" t="s">
        <v>41</v>
      </c>
      <c r="P359" s="6" t="s">
        <v>42</v>
      </c>
      <c r="Q359" s="8" t="s">
        <v>43</v>
      </c>
      <c r="R359" s="10" t="s">
        <v>2315</v>
      </c>
      <c r="S359" s="11"/>
      <c r="T359" s="6"/>
      <c r="U359" s="28" t="str">
        <f>HYPERLINK("https://media.infra-m.ru/1912/1912429/cover/1912429.jpg", "Обложка")</f>
        <v>Обложка</v>
      </c>
      <c r="V359" s="28" t="str">
        <f>HYPERLINK("https://znanium.com/catalog/product/1912429", "Ознакомиться")</f>
        <v>Ознакомиться</v>
      </c>
      <c r="W359" s="8" t="s">
        <v>857</v>
      </c>
      <c r="X359" s="6" t="s">
        <v>2232</v>
      </c>
      <c r="Y359" s="6"/>
      <c r="Z359" s="6"/>
      <c r="AA359" s="6" t="s">
        <v>687</v>
      </c>
    </row>
    <row r="360" spans="1:27" s="4" customFormat="1" ht="51.95" customHeight="1">
      <c r="A360" s="5">
        <v>0</v>
      </c>
      <c r="B360" s="6" t="s">
        <v>2316</v>
      </c>
      <c r="C360" s="7">
        <v>734</v>
      </c>
      <c r="D360" s="8" t="s">
        <v>2317</v>
      </c>
      <c r="E360" s="8" t="s">
        <v>2318</v>
      </c>
      <c r="F360" s="8" t="s">
        <v>2319</v>
      </c>
      <c r="G360" s="6" t="s">
        <v>37</v>
      </c>
      <c r="H360" s="6" t="s">
        <v>149</v>
      </c>
      <c r="I360" s="8" t="s">
        <v>54</v>
      </c>
      <c r="J360" s="9">
        <v>1</v>
      </c>
      <c r="K360" s="9">
        <v>160</v>
      </c>
      <c r="L360" s="9">
        <v>2023</v>
      </c>
      <c r="M360" s="8" t="s">
        <v>2320</v>
      </c>
      <c r="N360" s="8" t="s">
        <v>40</v>
      </c>
      <c r="O360" s="8" t="s">
        <v>41</v>
      </c>
      <c r="P360" s="6" t="s">
        <v>42</v>
      </c>
      <c r="Q360" s="8" t="s">
        <v>43</v>
      </c>
      <c r="R360" s="10" t="s">
        <v>607</v>
      </c>
      <c r="S360" s="11" t="s">
        <v>2321</v>
      </c>
      <c r="T360" s="6"/>
      <c r="U360" s="28" t="str">
        <f>HYPERLINK("https://media.infra-m.ru/2056/2056715/cover/2056715.jpg", "Обложка")</f>
        <v>Обложка</v>
      </c>
      <c r="V360" s="28" t="str">
        <f>HYPERLINK("https://znanium.com/catalog/product/1836621", "Ознакомиться")</f>
        <v>Ознакомиться</v>
      </c>
      <c r="W360" s="8" t="s">
        <v>204</v>
      </c>
      <c r="X360" s="6"/>
      <c r="Y360" s="6"/>
      <c r="Z360" s="6"/>
      <c r="AA360" s="6" t="s">
        <v>205</v>
      </c>
    </row>
    <row r="361" spans="1:27" s="4" customFormat="1" ht="42" customHeight="1">
      <c r="A361" s="5">
        <v>0</v>
      </c>
      <c r="B361" s="6" t="s">
        <v>2322</v>
      </c>
      <c r="C361" s="13">
        <v>1620</v>
      </c>
      <c r="D361" s="8" t="s">
        <v>2323</v>
      </c>
      <c r="E361" s="8" t="s">
        <v>2324</v>
      </c>
      <c r="F361" s="8" t="s">
        <v>2325</v>
      </c>
      <c r="G361" s="6" t="s">
        <v>52</v>
      </c>
      <c r="H361" s="6" t="s">
        <v>158</v>
      </c>
      <c r="I361" s="8" t="s">
        <v>64</v>
      </c>
      <c r="J361" s="9">
        <v>1</v>
      </c>
      <c r="K361" s="9">
        <v>360</v>
      </c>
      <c r="L361" s="9">
        <v>2023</v>
      </c>
      <c r="M361" s="8" t="s">
        <v>2326</v>
      </c>
      <c r="N361" s="8" t="s">
        <v>40</v>
      </c>
      <c r="O361" s="8" t="s">
        <v>41</v>
      </c>
      <c r="P361" s="6" t="s">
        <v>161</v>
      </c>
      <c r="Q361" s="8" t="s">
        <v>66</v>
      </c>
      <c r="R361" s="10" t="s">
        <v>2327</v>
      </c>
      <c r="S361" s="11"/>
      <c r="T361" s="6"/>
      <c r="U361" s="28" t="str">
        <f>HYPERLINK("https://media.infra-m.ru/1999/1999922/cover/1999922.jpg", "Обложка")</f>
        <v>Обложка</v>
      </c>
      <c r="V361" s="28" t="str">
        <f>HYPERLINK("https://znanium.com/catalog/product/1999922", "Ознакомиться")</f>
        <v>Ознакомиться</v>
      </c>
      <c r="W361" s="8" t="s">
        <v>1168</v>
      </c>
      <c r="X361" s="6"/>
      <c r="Y361" s="6"/>
      <c r="Z361" s="6"/>
      <c r="AA361" s="6" t="s">
        <v>144</v>
      </c>
    </row>
    <row r="362" spans="1:27" s="4" customFormat="1" ht="42" customHeight="1">
      <c r="A362" s="5">
        <v>0</v>
      </c>
      <c r="B362" s="6" t="s">
        <v>2328</v>
      </c>
      <c r="C362" s="13">
        <v>1330</v>
      </c>
      <c r="D362" s="8" t="s">
        <v>2329</v>
      </c>
      <c r="E362" s="8" t="s">
        <v>2330</v>
      </c>
      <c r="F362" s="8" t="s">
        <v>2331</v>
      </c>
      <c r="G362" s="6" t="s">
        <v>52</v>
      </c>
      <c r="H362" s="6" t="s">
        <v>158</v>
      </c>
      <c r="I362" s="8"/>
      <c r="J362" s="9">
        <v>1</v>
      </c>
      <c r="K362" s="9">
        <v>296</v>
      </c>
      <c r="L362" s="9">
        <v>2023</v>
      </c>
      <c r="M362" s="8" t="s">
        <v>2332</v>
      </c>
      <c r="N362" s="8" t="s">
        <v>40</v>
      </c>
      <c r="O362" s="8" t="s">
        <v>41</v>
      </c>
      <c r="P362" s="6" t="s">
        <v>42</v>
      </c>
      <c r="Q362" s="8" t="s">
        <v>43</v>
      </c>
      <c r="R362" s="10" t="s">
        <v>2333</v>
      </c>
      <c r="S362" s="11"/>
      <c r="T362" s="6"/>
      <c r="U362" s="28" t="str">
        <f>HYPERLINK("https://media.infra-m.ru/1902/1902497/cover/1902497.jpg", "Обложка")</f>
        <v>Обложка</v>
      </c>
      <c r="V362" s="28" t="str">
        <f>HYPERLINK("https://znanium.com/catalog/product/1902497", "Ознакомиться")</f>
        <v>Ознакомиться</v>
      </c>
      <c r="W362" s="8" t="s">
        <v>164</v>
      </c>
      <c r="X362" s="6"/>
      <c r="Y362" s="6"/>
      <c r="Z362" s="6"/>
      <c r="AA362" s="6" t="s">
        <v>144</v>
      </c>
    </row>
    <row r="363" spans="1:27" s="4" customFormat="1" ht="51.95" customHeight="1">
      <c r="A363" s="5">
        <v>0</v>
      </c>
      <c r="B363" s="6" t="s">
        <v>2334</v>
      </c>
      <c r="C363" s="7">
        <v>750</v>
      </c>
      <c r="D363" s="8" t="s">
        <v>2335</v>
      </c>
      <c r="E363" s="8" t="s">
        <v>2336</v>
      </c>
      <c r="F363" s="8" t="s">
        <v>2337</v>
      </c>
      <c r="G363" s="6" t="s">
        <v>74</v>
      </c>
      <c r="H363" s="6" t="s">
        <v>113</v>
      </c>
      <c r="I363" s="8" t="s">
        <v>54</v>
      </c>
      <c r="J363" s="9">
        <v>1</v>
      </c>
      <c r="K363" s="9">
        <v>162</v>
      </c>
      <c r="L363" s="9">
        <v>2023</v>
      </c>
      <c r="M363" s="8" t="s">
        <v>2338</v>
      </c>
      <c r="N363" s="8" t="s">
        <v>40</v>
      </c>
      <c r="O363" s="8" t="s">
        <v>41</v>
      </c>
      <c r="P363" s="6" t="s">
        <v>42</v>
      </c>
      <c r="Q363" s="8" t="s">
        <v>43</v>
      </c>
      <c r="R363" s="10" t="s">
        <v>831</v>
      </c>
      <c r="S363" s="11" t="s">
        <v>2339</v>
      </c>
      <c r="T363" s="6"/>
      <c r="U363" s="28" t="str">
        <f>HYPERLINK("https://media.infra-m.ru/2049/2049696/cover/2049696.jpg", "Обложка")</f>
        <v>Обложка</v>
      </c>
      <c r="V363" s="28" t="str">
        <f>HYPERLINK("https://znanium.com/catalog/product/2049696", "Ознакомиться")</f>
        <v>Ознакомиться</v>
      </c>
      <c r="W363" s="8" t="s">
        <v>46</v>
      </c>
      <c r="X363" s="6"/>
      <c r="Y363" s="6"/>
      <c r="Z363" s="6"/>
      <c r="AA363" s="6" t="s">
        <v>120</v>
      </c>
    </row>
    <row r="364" spans="1:27" s="4" customFormat="1" ht="51.95" customHeight="1">
      <c r="A364" s="5">
        <v>0</v>
      </c>
      <c r="B364" s="6" t="s">
        <v>2340</v>
      </c>
      <c r="C364" s="7">
        <v>980</v>
      </c>
      <c r="D364" s="8" t="s">
        <v>2341</v>
      </c>
      <c r="E364" s="8" t="s">
        <v>2342</v>
      </c>
      <c r="F364" s="8" t="s">
        <v>2343</v>
      </c>
      <c r="G364" s="6" t="s">
        <v>52</v>
      </c>
      <c r="H364" s="6" t="s">
        <v>113</v>
      </c>
      <c r="I364" s="8" t="s">
        <v>377</v>
      </c>
      <c r="J364" s="9">
        <v>1</v>
      </c>
      <c r="K364" s="9">
        <v>216</v>
      </c>
      <c r="L364" s="9">
        <v>2023</v>
      </c>
      <c r="M364" s="8" t="s">
        <v>2344</v>
      </c>
      <c r="N364" s="8" t="s">
        <v>40</v>
      </c>
      <c r="O364" s="8" t="s">
        <v>41</v>
      </c>
      <c r="P364" s="6" t="s">
        <v>42</v>
      </c>
      <c r="Q364" s="8" t="s">
        <v>379</v>
      </c>
      <c r="R364" s="10" t="s">
        <v>2345</v>
      </c>
      <c r="S364" s="11" t="s">
        <v>2346</v>
      </c>
      <c r="T364" s="6" t="s">
        <v>117</v>
      </c>
      <c r="U364" s="28" t="str">
        <f>HYPERLINK("https://media.infra-m.ru/2017/2017310/cover/2017310.jpg", "Обложка")</f>
        <v>Обложка</v>
      </c>
      <c r="V364" s="28" t="str">
        <f>HYPERLINK("https://znanium.com/catalog/product/1915716", "Ознакомиться")</f>
        <v>Ознакомиться</v>
      </c>
      <c r="W364" s="8" t="s">
        <v>2347</v>
      </c>
      <c r="X364" s="6"/>
      <c r="Y364" s="6"/>
      <c r="Z364" s="6"/>
      <c r="AA364" s="6" t="s">
        <v>226</v>
      </c>
    </row>
    <row r="365" spans="1:27" s="4" customFormat="1" ht="51.95" customHeight="1">
      <c r="A365" s="5">
        <v>0</v>
      </c>
      <c r="B365" s="6" t="s">
        <v>2348</v>
      </c>
      <c r="C365" s="7">
        <v>994.9</v>
      </c>
      <c r="D365" s="8" t="s">
        <v>2349</v>
      </c>
      <c r="E365" s="8" t="s">
        <v>2342</v>
      </c>
      <c r="F365" s="8" t="s">
        <v>2343</v>
      </c>
      <c r="G365" s="6" t="s">
        <v>52</v>
      </c>
      <c r="H365" s="6" t="s">
        <v>113</v>
      </c>
      <c r="I365" s="8" t="s">
        <v>64</v>
      </c>
      <c r="J365" s="9">
        <v>1</v>
      </c>
      <c r="K365" s="9">
        <v>216</v>
      </c>
      <c r="L365" s="9">
        <v>2024</v>
      </c>
      <c r="M365" s="8" t="s">
        <v>2350</v>
      </c>
      <c r="N365" s="8" t="s">
        <v>40</v>
      </c>
      <c r="O365" s="8" t="s">
        <v>41</v>
      </c>
      <c r="P365" s="6" t="s">
        <v>42</v>
      </c>
      <c r="Q365" s="8" t="s">
        <v>66</v>
      </c>
      <c r="R365" s="10" t="s">
        <v>266</v>
      </c>
      <c r="S365" s="11" t="s">
        <v>2351</v>
      </c>
      <c r="T365" s="6" t="s">
        <v>117</v>
      </c>
      <c r="U365" s="28" t="str">
        <f>HYPERLINK("https://media.infra-m.ru/2104/2104839/cover/2104839.jpg", "Обложка")</f>
        <v>Обложка</v>
      </c>
      <c r="V365" s="28" t="str">
        <f>HYPERLINK("https://znanium.com/catalog/product/1916202", "Ознакомиться")</f>
        <v>Ознакомиться</v>
      </c>
      <c r="W365" s="8" t="s">
        <v>2347</v>
      </c>
      <c r="X365" s="6"/>
      <c r="Y365" s="6"/>
      <c r="Z365" s="6" t="s">
        <v>713</v>
      </c>
      <c r="AA365" s="6" t="s">
        <v>253</v>
      </c>
    </row>
    <row r="366" spans="1:27" s="4" customFormat="1" ht="51.95" customHeight="1">
      <c r="A366" s="5">
        <v>0</v>
      </c>
      <c r="B366" s="6" t="s">
        <v>2352</v>
      </c>
      <c r="C366" s="13">
        <v>1480</v>
      </c>
      <c r="D366" s="8" t="s">
        <v>2353</v>
      </c>
      <c r="E366" s="8" t="s">
        <v>2354</v>
      </c>
      <c r="F366" s="8" t="s">
        <v>2355</v>
      </c>
      <c r="G366" s="6" t="s">
        <v>52</v>
      </c>
      <c r="H366" s="6" t="s">
        <v>113</v>
      </c>
      <c r="I366" s="8" t="s">
        <v>54</v>
      </c>
      <c r="J366" s="9">
        <v>1</v>
      </c>
      <c r="K366" s="9">
        <v>320</v>
      </c>
      <c r="L366" s="9">
        <v>2024</v>
      </c>
      <c r="M366" s="8" t="s">
        <v>2356</v>
      </c>
      <c r="N366" s="8" t="s">
        <v>40</v>
      </c>
      <c r="O366" s="8" t="s">
        <v>41</v>
      </c>
      <c r="P366" s="6" t="s">
        <v>42</v>
      </c>
      <c r="Q366" s="8" t="s">
        <v>379</v>
      </c>
      <c r="R366" s="10" t="s">
        <v>2357</v>
      </c>
      <c r="S366" s="11" t="s">
        <v>2358</v>
      </c>
      <c r="T366" s="6"/>
      <c r="U366" s="28" t="str">
        <f>HYPERLINK("https://media.infra-m.ru/2092/2092884/cover/2092884.jpg", "Обложка")</f>
        <v>Обложка</v>
      </c>
      <c r="V366" s="28" t="str">
        <f>HYPERLINK("https://znanium.com/catalog/product/2092884", "Ознакомиться")</f>
        <v>Ознакомиться</v>
      </c>
      <c r="W366" s="8" t="s">
        <v>1120</v>
      </c>
      <c r="X366" s="6"/>
      <c r="Y366" s="6"/>
      <c r="Z366" s="6"/>
      <c r="AA366" s="6" t="s">
        <v>47</v>
      </c>
    </row>
    <row r="367" spans="1:27" s="4" customFormat="1" ht="51.95" customHeight="1">
      <c r="A367" s="5">
        <v>0</v>
      </c>
      <c r="B367" s="6" t="s">
        <v>2359</v>
      </c>
      <c r="C367" s="13">
        <v>1800</v>
      </c>
      <c r="D367" s="8" t="s">
        <v>2360</v>
      </c>
      <c r="E367" s="8" t="s">
        <v>2361</v>
      </c>
      <c r="F367" s="8" t="s">
        <v>1604</v>
      </c>
      <c r="G367" s="6" t="s">
        <v>52</v>
      </c>
      <c r="H367" s="6" t="s">
        <v>53</v>
      </c>
      <c r="I367" s="8" t="s">
        <v>64</v>
      </c>
      <c r="J367" s="9">
        <v>1</v>
      </c>
      <c r="K367" s="9">
        <v>399</v>
      </c>
      <c r="L367" s="9">
        <v>2023</v>
      </c>
      <c r="M367" s="8" t="s">
        <v>2362</v>
      </c>
      <c r="N367" s="8" t="s">
        <v>40</v>
      </c>
      <c r="O367" s="8" t="s">
        <v>41</v>
      </c>
      <c r="P367" s="6" t="s">
        <v>42</v>
      </c>
      <c r="Q367" s="8" t="s">
        <v>66</v>
      </c>
      <c r="R367" s="10" t="s">
        <v>971</v>
      </c>
      <c r="S367" s="11" t="s">
        <v>2363</v>
      </c>
      <c r="T367" s="6"/>
      <c r="U367" s="28" t="str">
        <f>HYPERLINK("https://media.infra-m.ru/1941/1941740/cover/1941740.jpg", "Обложка")</f>
        <v>Обложка</v>
      </c>
      <c r="V367" s="28" t="str">
        <f>HYPERLINK("https://znanium.com/catalog/product/1941740", "Ознакомиться")</f>
        <v>Ознакомиться</v>
      </c>
      <c r="W367" s="8" t="s">
        <v>189</v>
      </c>
      <c r="X367" s="6"/>
      <c r="Y367" s="6"/>
      <c r="Z367" s="6"/>
      <c r="AA367" s="6" t="s">
        <v>2364</v>
      </c>
    </row>
    <row r="368" spans="1:27" s="15" customFormat="1" ht="21.95" customHeight="1"/>
    <row r="369" spans="1:5" ht="15.95" customHeight="1">
      <c r="A369" s="25" t="s">
        <v>23</v>
      </c>
      <c r="B369" s="25"/>
    </row>
    <row r="370" spans="1:5" s="16" customFormat="1" ht="12.95" customHeight="1"/>
    <row r="371" spans="1:5" s="16" customFormat="1" ht="12.95" customHeight="1"/>
    <row r="372" spans="1:5" s="16" customFormat="1" ht="12.95" customHeight="1">
      <c r="C372" s="26" t="s">
        <v>2365</v>
      </c>
      <c r="D372" s="26"/>
      <c r="E372" s="26"/>
    </row>
    <row r="373" spans="1:5" s="16" customFormat="1" ht="12.95" customHeight="1">
      <c r="A373" s="26" t="s">
        <v>2366</v>
      </c>
      <c r="B373" s="26"/>
      <c r="C373" s="26" t="s">
        <v>2367</v>
      </c>
      <c r="D373" s="26"/>
      <c r="E373" s="26"/>
    </row>
    <row r="374" spans="1:5" s="16" customFormat="1" ht="12.95" customHeight="1">
      <c r="A374" s="26" t="s">
        <v>2366</v>
      </c>
      <c r="B374" s="26"/>
      <c r="C374" s="26" t="s">
        <v>2367</v>
      </c>
      <c r="D374" s="26"/>
      <c r="E374" s="26"/>
    </row>
    <row r="375" spans="1:5" s="16" customFormat="1" ht="12.95" customHeight="1">
      <c r="A375" s="26" t="s">
        <v>1515</v>
      </c>
      <c r="B375" s="26"/>
      <c r="C375" s="26" t="s">
        <v>2368</v>
      </c>
      <c r="D375" s="26"/>
      <c r="E375" s="26"/>
    </row>
    <row r="376" spans="1:5" s="16" customFormat="1" ht="12.95" customHeight="1">
      <c r="A376" s="26" t="s">
        <v>2369</v>
      </c>
      <c r="B376" s="26"/>
      <c r="C376" s="26" t="s">
        <v>2370</v>
      </c>
      <c r="D376" s="26"/>
      <c r="E376" s="26"/>
    </row>
    <row r="377" spans="1:5" s="16" customFormat="1" ht="12.95" customHeight="1">
      <c r="A377" s="26" t="s">
        <v>2371</v>
      </c>
      <c r="B377" s="26"/>
      <c r="C377" s="26" t="s">
        <v>2372</v>
      </c>
      <c r="D377" s="26"/>
      <c r="E377" s="26"/>
    </row>
    <row r="378" spans="1:5" s="16" customFormat="1" ht="12.95" customHeight="1">
      <c r="A378" s="26" t="s">
        <v>2373</v>
      </c>
      <c r="B378" s="26"/>
      <c r="C378" s="26" t="s">
        <v>2372</v>
      </c>
      <c r="D378" s="26"/>
      <c r="E378" s="26"/>
    </row>
    <row r="379" spans="1:5" s="16" customFormat="1" ht="12.95" customHeight="1">
      <c r="A379" s="26" t="s">
        <v>2374</v>
      </c>
      <c r="B379" s="26"/>
      <c r="C379" s="26" t="s">
        <v>2370</v>
      </c>
      <c r="D379" s="26"/>
      <c r="E379" s="26"/>
    </row>
    <row r="380" spans="1:5" s="16" customFormat="1" ht="12.95" customHeight="1">
      <c r="A380" s="26" t="s">
        <v>2375</v>
      </c>
      <c r="B380" s="26"/>
      <c r="C380" s="26" t="s">
        <v>2372</v>
      </c>
      <c r="D380" s="26"/>
      <c r="E380" s="26"/>
    </row>
    <row r="381" spans="1:5" s="16" customFormat="1" ht="12.95" customHeight="1">
      <c r="A381" s="26" t="s">
        <v>2376</v>
      </c>
      <c r="B381" s="26"/>
      <c r="C381" s="26" t="s">
        <v>2377</v>
      </c>
      <c r="D381" s="26"/>
      <c r="E381" s="26"/>
    </row>
    <row r="382" spans="1:5" s="16" customFormat="1" ht="12.95" customHeight="1">
      <c r="A382" s="26" t="s">
        <v>2378</v>
      </c>
      <c r="B382" s="26"/>
      <c r="C382" s="26" t="s">
        <v>2379</v>
      </c>
      <c r="D382" s="26"/>
      <c r="E382" s="26"/>
    </row>
    <row r="383" spans="1:5" s="16" customFormat="1" ht="12.95" customHeight="1">
      <c r="A383" s="26" t="s">
        <v>2380</v>
      </c>
      <c r="B383" s="26"/>
      <c r="C383" s="26" t="s">
        <v>2381</v>
      </c>
      <c r="D383" s="26"/>
      <c r="E383" s="26"/>
    </row>
    <row r="384" spans="1:5" s="16" customFormat="1" ht="12.95" customHeight="1">
      <c r="A384" s="26" t="s">
        <v>2382</v>
      </c>
      <c r="B384" s="26"/>
      <c r="C384" s="26" t="s">
        <v>2383</v>
      </c>
      <c r="D384" s="26"/>
      <c r="E384" s="26"/>
    </row>
    <row r="385" spans="1:5" s="16" customFormat="1" ht="12.95" customHeight="1">
      <c r="A385" s="26" t="s">
        <v>2384</v>
      </c>
      <c r="B385" s="26"/>
      <c r="C385" s="26" t="s">
        <v>2385</v>
      </c>
      <c r="D385" s="26"/>
      <c r="E385" s="26"/>
    </row>
    <row r="386" spans="1:5" s="16" customFormat="1" ht="12.95" customHeight="1">
      <c r="A386" s="26" t="s">
        <v>1167</v>
      </c>
      <c r="B386" s="26"/>
      <c r="C386" s="26" t="s">
        <v>2386</v>
      </c>
      <c r="D386" s="26"/>
      <c r="E386" s="26"/>
    </row>
    <row r="387" spans="1:5" s="16" customFormat="1" ht="12.95" customHeight="1">
      <c r="A387" s="26" t="s">
        <v>2387</v>
      </c>
      <c r="B387" s="26"/>
      <c r="C387" s="26" t="s">
        <v>2381</v>
      </c>
      <c r="D387" s="26"/>
      <c r="E387" s="26"/>
    </row>
    <row r="388" spans="1:5" s="16" customFormat="1" ht="12.95" customHeight="1">
      <c r="A388" s="26" t="s">
        <v>2388</v>
      </c>
      <c r="B388" s="26"/>
      <c r="C388" s="26" t="s">
        <v>2383</v>
      </c>
      <c r="D388" s="26"/>
      <c r="E388" s="26"/>
    </row>
    <row r="389" spans="1:5" s="16" customFormat="1" ht="12.95" customHeight="1">
      <c r="A389" s="26" t="s">
        <v>2389</v>
      </c>
      <c r="B389" s="26"/>
      <c r="C389" s="26" t="s">
        <v>2385</v>
      </c>
      <c r="D389" s="26"/>
      <c r="E389" s="26"/>
    </row>
    <row r="390" spans="1:5" s="16" customFormat="1" ht="12.95" customHeight="1">
      <c r="A390" s="26" t="s">
        <v>2390</v>
      </c>
      <c r="B390" s="26"/>
      <c r="C390" s="26" t="s">
        <v>2386</v>
      </c>
      <c r="D390" s="26"/>
      <c r="E390" s="26"/>
    </row>
    <row r="391" spans="1:5" s="16" customFormat="1" ht="12.95" customHeight="1">
      <c r="A391" s="26" t="s">
        <v>2391</v>
      </c>
      <c r="B391" s="26"/>
      <c r="C391" s="26" t="s">
        <v>2392</v>
      </c>
      <c r="D391" s="26"/>
      <c r="E391" s="26"/>
    </row>
    <row r="392" spans="1:5" s="16" customFormat="1" ht="12.95" customHeight="1">
      <c r="A392" s="26" t="s">
        <v>2393</v>
      </c>
      <c r="B392" s="26"/>
      <c r="C392" s="26" t="s">
        <v>2394</v>
      </c>
      <c r="D392" s="26"/>
      <c r="E392" s="26"/>
    </row>
    <row r="393" spans="1:5" s="16" customFormat="1" ht="12.95" customHeight="1">
      <c r="A393" s="26" t="s">
        <v>2395</v>
      </c>
      <c r="B393" s="26"/>
      <c r="C393" s="26" t="s">
        <v>2396</v>
      </c>
      <c r="D393" s="26"/>
      <c r="E393" s="26"/>
    </row>
    <row r="394" spans="1:5" s="16" customFormat="1" ht="12.95" customHeight="1">
      <c r="A394" s="26" t="s">
        <v>2397</v>
      </c>
      <c r="B394" s="26"/>
      <c r="C394" s="26" t="s">
        <v>2398</v>
      </c>
      <c r="D394" s="26"/>
      <c r="E394" s="26"/>
    </row>
    <row r="395" spans="1:5" s="16" customFormat="1" ht="12.95" customHeight="1">
      <c r="A395" s="26" t="s">
        <v>2399</v>
      </c>
      <c r="B395" s="26"/>
      <c r="C395" s="26" t="s">
        <v>2400</v>
      </c>
      <c r="D395" s="26"/>
      <c r="E395" s="26"/>
    </row>
    <row r="396" spans="1:5" s="16" customFormat="1" ht="12.95" customHeight="1">
      <c r="A396" s="26" t="s">
        <v>2401</v>
      </c>
      <c r="B396" s="26"/>
      <c r="C396" s="26" t="s">
        <v>2385</v>
      </c>
      <c r="D396" s="26"/>
      <c r="E396" s="26"/>
    </row>
    <row r="397" spans="1:5" s="16" customFormat="1" ht="12.95" customHeight="1">
      <c r="A397" s="26" t="s">
        <v>2402</v>
      </c>
      <c r="B397" s="26"/>
      <c r="C397" s="26" t="s">
        <v>2398</v>
      </c>
      <c r="D397" s="26"/>
      <c r="E397" s="26"/>
    </row>
    <row r="398" spans="1:5" s="16" customFormat="1" ht="12.95" customHeight="1">
      <c r="A398" s="26" t="s">
        <v>2403</v>
      </c>
      <c r="B398" s="26"/>
      <c r="C398" s="26" t="s">
        <v>2400</v>
      </c>
      <c r="D398" s="26"/>
      <c r="E398" s="26"/>
    </row>
    <row r="399" spans="1:5" s="16" customFormat="1" ht="12.95" customHeight="1">
      <c r="A399" s="26" t="s">
        <v>2404</v>
      </c>
      <c r="B399" s="26"/>
      <c r="C399" s="26" t="s">
        <v>2405</v>
      </c>
      <c r="D399" s="26"/>
      <c r="E399" s="26"/>
    </row>
    <row r="400" spans="1:5" s="16" customFormat="1" ht="12.95" customHeight="1">
      <c r="A400" s="26" t="s">
        <v>2406</v>
      </c>
      <c r="B400" s="26"/>
      <c r="C400" s="26" t="s">
        <v>2407</v>
      </c>
      <c r="D400" s="26"/>
      <c r="E400" s="26"/>
    </row>
    <row r="401" spans="1:5" s="16" customFormat="1" ht="12.95" customHeight="1">
      <c r="A401" s="26" t="s">
        <v>2408</v>
      </c>
      <c r="B401" s="26"/>
      <c r="C401" s="26" t="s">
        <v>2409</v>
      </c>
      <c r="D401" s="26"/>
      <c r="E401" s="26"/>
    </row>
    <row r="402" spans="1:5" s="16" customFormat="1" ht="12.95" customHeight="1">
      <c r="A402" s="26" t="s">
        <v>2410</v>
      </c>
      <c r="B402" s="26"/>
      <c r="C402" s="26" t="s">
        <v>2411</v>
      </c>
      <c r="D402" s="26"/>
      <c r="E402" s="26"/>
    </row>
    <row r="403" spans="1:5" s="16" customFormat="1" ht="12.95" customHeight="1">
      <c r="A403" s="26" t="s">
        <v>2412</v>
      </c>
      <c r="B403" s="26"/>
      <c r="C403" s="26" t="s">
        <v>2383</v>
      </c>
      <c r="D403" s="26"/>
      <c r="E403" s="26"/>
    </row>
    <row r="404" spans="1:5" s="16" customFormat="1" ht="12.95" customHeight="1">
      <c r="A404" s="26" t="s">
        <v>2413</v>
      </c>
      <c r="B404" s="26"/>
      <c r="C404" s="26" t="s">
        <v>2385</v>
      </c>
      <c r="D404" s="26"/>
      <c r="E404" s="26"/>
    </row>
    <row r="405" spans="1:5" s="16" customFormat="1" ht="12.95" customHeight="1">
      <c r="A405" s="26" t="s">
        <v>2414</v>
      </c>
      <c r="B405" s="26"/>
      <c r="C405" s="26" t="s">
        <v>2411</v>
      </c>
      <c r="D405" s="26"/>
      <c r="E405" s="26"/>
    </row>
    <row r="406" spans="1:5" s="16" customFormat="1" ht="12.95" customHeight="1">
      <c r="A406" s="26" t="s">
        <v>2415</v>
      </c>
      <c r="B406" s="26"/>
      <c r="C406" s="26" t="s">
        <v>2416</v>
      </c>
      <c r="D406" s="26"/>
      <c r="E406" s="26"/>
    </row>
    <row r="407" spans="1:5" s="16" customFormat="1" ht="12.95" customHeight="1">
      <c r="A407" s="26" t="s">
        <v>2417</v>
      </c>
      <c r="B407" s="26"/>
      <c r="C407" s="26" t="s">
        <v>2418</v>
      </c>
      <c r="D407" s="26"/>
      <c r="E407" s="26"/>
    </row>
    <row r="408" spans="1:5" s="16" customFormat="1" ht="12.95" customHeight="1">
      <c r="A408" s="26" t="s">
        <v>2419</v>
      </c>
      <c r="B408" s="26"/>
      <c r="C408" s="26" t="s">
        <v>2420</v>
      </c>
      <c r="D408" s="26"/>
      <c r="E408" s="26"/>
    </row>
    <row r="409" spans="1:5" s="16" customFormat="1" ht="12.95" customHeight="1">
      <c r="A409" s="26" t="s">
        <v>2421</v>
      </c>
      <c r="B409" s="26"/>
      <c r="C409" s="26" t="s">
        <v>2422</v>
      </c>
      <c r="D409" s="26"/>
      <c r="E409" s="26"/>
    </row>
    <row r="410" spans="1:5" s="16" customFormat="1" ht="12.95" customHeight="1">
      <c r="A410" s="26" t="s">
        <v>2423</v>
      </c>
      <c r="B410" s="26"/>
      <c r="C410" s="26" t="s">
        <v>2424</v>
      </c>
      <c r="D410" s="26"/>
      <c r="E410" s="26"/>
    </row>
    <row r="411" spans="1:5" s="16" customFormat="1" ht="12.95" customHeight="1">
      <c r="A411" s="26" t="s">
        <v>2425</v>
      </c>
      <c r="B411" s="26"/>
      <c r="C411" s="26" t="s">
        <v>2426</v>
      </c>
      <c r="D411" s="26"/>
      <c r="E411" s="26"/>
    </row>
    <row r="412" spans="1:5" s="16" customFormat="1" ht="12.95" customHeight="1">
      <c r="A412" s="26" t="s">
        <v>2427</v>
      </c>
      <c r="B412" s="26"/>
      <c r="C412" s="26" t="s">
        <v>2428</v>
      </c>
      <c r="D412" s="26"/>
      <c r="E412" s="26"/>
    </row>
    <row r="413" spans="1:5" s="16" customFormat="1" ht="12.95" customHeight="1">
      <c r="A413" s="26" t="s">
        <v>2429</v>
      </c>
      <c r="B413" s="26"/>
      <c r="C413" s="26" t="s">
        <v>2430</v>
      </c>
      <c r="D413" s="26"/>
      <c r="E413" s="26"/>
    </row>
    <row r="414" spans="1:5" s="16" customFormat="1" ht="12.95" customHeight="1">
      <c r="A414" s="26" t="s">
        <v>2431</v>
      </c>
      <c r="B414" s="26"/>
      <c r="C414" s="26" t="s">
        <v>2432</v>
      </c>
      <c r="D414" s="26"/>
      <c r="E414" s="26"/>
    </row>
    <row r="415" spans="1:5" s="16" customFormat="1" ht="12.95" customHeight="1">
      <c r="A415" s="26" t="s">
        <v>2433</v>
      </c>
      <c r="B415" s="26"/>
      <c r="C415" s="26" t="s">
        <v>2434</v>
      </c>
      <c r="D415" s="26"/>
      <c r="E415" s="26"/>
    </row>
    <row r="416" spans="1:5" s="16" customFormat="1" ht="12.95" customHeight="1">
      <c r="A416" s="26" t="s">
        <v>2435</v>
      </c>
      <c r="B416" s="26"/>
      <c r="C416" s="26" t="s">
        <v>2436</v>
      </c>
      <c r="D416" s="26"/>
      <c r="E416" s="26"/>
    </row>
    <row r="417" spans="1:5" s="16" customFormat="1" ht="12.95" customHeight="1">
      <c r="A417" s="26" t="s">
        <v>2437</v>
      </c>
      <c r="B417" s="26"/>
      <c r="C417" s="26" t="s">
        <v>2438</v>
      </c>
      <c r="D417" s="26"/>
      <c r="E417" s="26"/>
    </row>
    <row r="418" spans="1:5" s="16" customFormat="1" ht="12.95" customHeight="1">
      <c r="A418" s="26" t="s">
        <v>2439</v>
      </c>
      <c r="B418" s="26"/>
      <c r="C418" s="26" t="s">
        <v>2440</v>
      </c>
      <c r="D418" s="26"/>
      <c r="E418" s="26"/>
    </row>
    <row r="419" spans="1:5" s="16" customFormat="1" ht="12.95" customHeight="1">
      <c r="A419" s="26" t="s">
        <v>2441</v>
      </c>
      <c r="B419" s="26"/>
      <c r="C419" s="26" t="s">
        <v>2442</v>
      </c>
      <c r="D419" s="26"/>
      <c r="E419" s="26"/>
    </row>
    <row r="420" spans="1:5" s="16" customFormat="1" ht="12.95" customHeight="1">
      <c r="A420" s="26" t="s">
        <v>2443</v>
      </c>
      <c r="B420" s="26"/>
      <c r="C420" s="26" t="s">
        <v>2444</v>
      </c>
      <c r="D420" s="26"/>
      <c r="E420" s="26"/>
    </row>
    <row r="421" spans="1:5" s="16" customFormat="1" ht="12.95" customHeight="1">
      <c r="A421" s="26" t="s">
        <v>2445</v>
      </c>
      <c r="B421" s="26"/>
      <c r="C421" s="26" t="s">
        <v>2446</v>
      </c>
      <c r="D421" s="26"/>
      <c r="E421" s="26"/>
    </row>
    <row r="422" spans="1:5" s="16" customFormat="1" ht="12.95" customHeight="1">
      <c r="A422" s="26" t="s">
        <v>2447</v>
      </c>
      <c r="B422" s="26"/>
      <c r="C422" s="26" t="s">
        <v>2448</v>
      </c>
      <c r="D422" s="26"/>
      <c r="E422" s="26"/>
    </row>
    <row r="423" spans="1:5" s="16" customFormat="1" ht="12.95" customHeight="1">
      <c r="A423" s="26" t="s">
        <v>2449</v>
      </c>
      <c r="B423" s="26"/>
      <c r="C423" s="26" t="s">
        <v>2450</v>
      </c>
      <c r="D423" s="26"/>
      <c r="E423" s="26"/>
    </row>
    <row r="424" spans="1:5" s="16" customFormat="1" ht="12.95" customHeight="1">
      <c r="A424" s="26" t="s">
        <v>2449</v>
      </c>
      <c r="B424" s="26"/>
      <c r="C424" s="26" t="s">
        <v>2450</v>
      </c>
      <c r="D424" s="26"/>
      <c r="E424" s="26"/>
    </row>
    <row r="425" spans="1:5" s="16" customFormat="1" ht="12.95" customHeight="1">
      <c r="A425" s="26" t="s">
        <v>2451</v>
      </c>
      <c r="B425" s="26"/>
      <c r="C425" s="26" t="s">
        <v>2452</v>
      </c>
      <c r="D425" s="26"/>
      <c r="E425" s="26"/>
    </row>
    <row r="426" spans="1:5" s="16" customFormat="1" ht="12.95" customHeight="1">
      <c r="A426" s="26" t="s">
        <v>2453</v>
      </c>
      <c r="B426" s="26"/>
      <c r="C426" s="26" t="s">
        <v>2454</v>
      </c>
      <c r="D426" s="26"/>
      <c r="E426" s="26"/>
    </row>
    <row r="427" spans="1:5" s="16" customFormat="1" ht="12.95" customHeight="1">
      <c r="A427" s="26" t="s">
        <v>2455</v>
      </c>
      <c r="B427" s="26"/>
      <c r="C427" s="26" t="s">
        <v>2456</v>
      </c>
      <c r="D427" s="26"/>
      <c r="E427" s="26"/>
    </row>
    <row r="428" spans="1:5" s="16" customFormat="1" ht="12.95" customHeight="1">
      <c r="A428" s="26" t="s">
        <v>1942</v>
      </c>
      <c r="B428" s="26"/>
      <c r="C428" s="26" t="s">
        <v>2457</v>
      </c>
      <c r="D428" s="26"/>
      <c r="E428" s="26"/>
    </row>
    <row r="429" spans="1:5" s="16" customFormat="1" ht="12.95" customHeight="1">
      <c r="A429" s="26" t="s">
        <v>2458</v>
      </c>
      <c r="B429" s="26"/>
      <c r="C429" s="26" t="s">
        <v>2459</v>
      </c>
      <c r="D429" s="26"/>
      <c r="E429" s="26"/>
    </row>
    <row r="430" spans="1:5" s="16" customFormat="1" ht="12.95" customHeight="1">
      <c r="A430" s="26" t="s">
        <v>971</v>
      </c>
      <c r="B430" s="26"/>
      <c r="C430" s="26" t="s">
        <v>2460</v>
      </c>
      <c r="D430" s="26"/>
      <c r="E430" s="26"/>
    </row>
    <row r="431" spans="1:5" s="16" customFormat="1" ht="12.95" customHeight="1">
      <c r="A431" s="26" t="s">
        <v>1491</v>
      </c>
      <c r="B431" s="26"/>
      <c r="C431" s="26" t="s">
        <v>2461</v>
      </c>
      <c r="D431" s="26"/>
      <c r="E431" s="26"/>
    </row>
    <row r="432" spans="1:5" s="16" customFormat="1" ht="12.95" customHeight="1">
      <c r="A432" s="26" t="s">
        <v>1084</v>
      </c>
      <c r="B432" s="26"/>
      <c r="C432" s="26" t="s">
        <v>2462</v>
      </c>
      <c r="D432" s="26"/>
      <c r="E432" s="26"/>
    </row>
    <row r="433" spans="1:5" s="16" customFormat="1" ht="12.95" customHeight="1">
      <c r="A433" s="26" t="s">
        <v>2463</v>
      </c>
      <c r="B433" s="26"/>
      <c r="C433" s="26" t="s">
        <v>2464</v>
      </c>
      <c r="D433" s="26"/>
      <c r="E433" s="26"/>
    </row>
    <row r="434" spans="1:5" s="16" customFormat="1" ht="12.95" customHeight="1">
      <c r="A434" s="26" t="s">
        <v>387</v>
      </c>
      <c r="B434" s="26"/>
      <c r="C434" s="26" t="s">
        <v>2465</v>
      </c>
      <c r="D434" s="26"/>
      <c r="E434" s="26"/>
    </row>
    <row r="435" spans="1:5" s="16" customFormat="1" ht="12.95" customHeight="1">
      <c r="A435" s="26" t="s">
        <v>607</v>
      </c>
      <c r="B435" s="26"/>
      <c r="C435" s="26" t="s">
        <v>2466</v>
      </c>
      <c r="D435" s="26"/>
      <c r="E435" s="26"/>
    </row>
    <row r="436" spans="1:5" s="16" customFormat="1" ht="12.95" customHeight="1">
      <c r="A436" s="26" t="s">
        <v>2467</v>
      </c>
      <c r="B436" s="26"/>
      <c r="C436" s="26" t="s">
        <v>2468</v>
      </c>
      <c r="D436" s="26"/>
      <c r="E436" s="26"/>
    </row>
    <row r="437" spans="1:5" s="16" customFormat="1" ht="12.95" customHeight="1">
      <c r="A437" s="26" t="s">
        <v>391</v>
      </c>
      <c r="B437" s="26"/>
      <c r="C437" s="26" t="s">
        <v>2469</v>
      </c>
      <c r="D437" s="26"/>
      <c r="E437" s="26"/>
    </row>
    <row r="438" spans="1:5" s="16" customFormat="1" ht="12.95" customHeight="1">
      <c r="A438" s="26" t="s">
        <v>446</v>
      </c>
      <c r="B438" s="26"/>
      <c r="C438" s="26" t="s">
        <v>2470</v>
      </c>
      <c r="D438" s="26"/>
      <c r="E438" s="26"/>
    </row>
    <row r="439" spans="1:5" s="16" customFormat="1" ht="12.95" customHeight="1">
      <c r="A439" s="26" t="s">
        <v>2471</v>
      </c>
      <c r="B439" s="26"/>
      <c r="C439" s="26" t="s">
        <v>2466</v>
      </c>
      <c r="D439" s="26"/>
      <c r="E439" s="26"/>
    </row>
    <row r="440" spans="1:5" s="16" customFormat="1" ht="12.95" customHeight="1">
      <c r="A440" s="26" t="s">
        <v>2472</v>
      </c>
      <c r="B440" s="26"/>
      <c r="C440" s="26" t="s">
        <v>2468</v>
      </c>
      <c r="D440" s="26"/>
      <c r="E440" s="26"/>
    </row>
    <row r="441" spans="1:5" s="16" customFormat="1" ht="12.95" customHeight="1">
      <c r="A441" s="26" t="s">
        <v>2473</v>
      </c>
      <c r="B441" s="26"/>
      <c r="C441" s="26" t="s">
        <v>2469</v>
      </c>
      <c r="D441" s="26"/>
      <c r="E441" s="26"/>
    </row>
    <row r="442" spans="1:5" s="16" customFormat="1" ht="12.95" customHeight="1">
      <c r="A442" s="26" t="s">
        <v>2474</v>
      </c>
      <c r="B442" s="26"/>
      <c r="C442" s="26" t="s">
        <v>2470</v>
      </c>
      <c r="D442" s="26"/>
      <c r="E442" s="26"/>
    </row>
    <row r="443" spans="1:5" s="16" customFormat="1" ht="12.95" customHeight="1">
      <c r="A443" s="26" t="s">
        <v>2475</v>
      </c>
      <c r="B443" s="26"/>
      <c r="C443" s="26" t="s">
        <v>2476</v>
      </c>
      <c r="D443" s="26"/>
      <c r="E443" s="26"/>
    </row>
    <row r="444" spans="1:5" s="16" customFormat="1" ht="12.95" customHeight="1">
      <c r="A444" s="26" t="s">
        <v>2477</v>
      </c>
      <c r="B444" s="26"/>
      <c r="C444" s="26" t="s">
        <v>2466</v>
      </c>
      <c r="D444" s="26"/>
      <c r="E444" s="26"/>
    </row>
    <row r="445" spans="1:5" s="16" customFormat="1" ht="12.95" customHeight="1">
      <c r="A445" s="26" t="s">
        <v>2478</v>
      </c>
      <c r="B445" s="26"/>
      <c r="C445" s="26" t="s">
        <v>2479</v>
      </c>
      <c r="D445" s="26"/>
      <c r="E445" s="26"/>
    </row>
    <row r="446" spans="1:5" s="16" customFormat="1" ht="12.95" customHeight="1">
      <c r="A446" s="26" t="s">
        <v>2152</v>
      </c>
      <c r="B446" s="26"/>
      <c r="C446" s="26" t="s">
        <v>2480</v>
      </c>
      <c r="D446" s="26"/>
      <c r="E446" s="26"/>
    </row>
    <row r="447" spans="1:5" s="16" customFormat="1" ht="12.95" customHeight="1">
      <c r="A447" s="26" t="s">
        <v>2481</v>
      </c>
      <c r="B447" s="26"/>
      <c r="C447" s="26" t="s">
        <v>2482</v>
      </c>
      <c r="D447" s="26"/>
      <c r="E447" s="26"/>
    </row>
    <row r="448" spans="1:5" s="16" customFormat="1" ht="12.95" customHeight="1">
      <c r="A448" s="26" t="s">
        <v>2483</v>
      </c>
      <c r="B448" s="26"/>
      <c r="C448" s="26" t="s">
        <v>2484</v>
      </c>
      <c r="D448" s="26"/>
      <c r="E448" s="26"/>
    </row>
    <row r="449" spans="1:5" s="16" customFormat="1" ht="12.95" customHeight="1">
      <c r="A449" s="26" t="s">
        <v>2485</v>
      </c>
      <c r="B449" s="26"/>
      <c r="C449" s="26" t="s">
        <v>2486</v>
      </c>
      <c r="D449" s="26"/>
      <c r="E449" s="26"/>
    </row>
    <row r="450" spans="1:5" s="16" customFormat="1" ht="12.95" customHeight="1">
      <c r="A450" s="26" t="s">
        <v>2487</v>
      </c>
      <c r="B450" s="26"/>
      <c r="C450" s="26" t="s">
        <v>2488</v>
      </c>
      <c r="D450" s="26"/>
      <c r="E450" s="26"/>
    </row>
    <row r="451" spans="1:5" s="16" customFormat="1" ht="12.95" customHeight="1">
      <c r="A451" s="26" t="s">
        <v>528</v>
      </c>
      <c r="B451" s="26"/>
      <c r="C451" s="26" t="s">
        <v>2489</v>
      </c>
      <c r="D451" s="26"/>
      <c r="E451" s="26"/>
    </row>
    <row r="452" spans="1:5" s="16" customFormat="1" ht="12.95" customHeight="1">
      <c r="A452" s="26" t="s">
        <v>2490</v>
      </c>
      <c r="B452" s="26"/>
      <c r="C452" s="26" t="s">
        <v>2489</v>
      </c>
      <c r="D452" s="26"/>
      <c r="E452" s="26"/>
    </row>
    <row r="453" spans="1:5" s="16" customFormat="1" ht="12.95" customHeight="1">
      <c r="A453" s="26" t="s">
        <v>2491</v>
      </c>
      <c r="B453" s="26"/>
      <c r="C453" s="26" t="s">
        <v>2492</v>
      </c>
      <c r="D453" s="26"/>
      <c r="E453" s="26"/>
    </row>
    <row r="454" spans="1:5" s="16" customFormat="1" ht="12.95" customHeight="1">
      <c r="A454" s="26" t="s">
        <v>2493</v>
      </c>
      <c r="B454" s="26"/>
      <c r="C454" s="26" t="s">
        <v>2482</v>
      </c>
      <c r="D454" s="26"/>
      <c r="E454" s="26"/>
    </row>
    <row r="455" spans="1:5" s="16" customFormat="1" ht="12.95" customHeight="1">
      <c r="A455" s="26" t="s">
        <v>2494</v>
      </c>
      <c r="B455" s="26"/>
      <c r="C455" s="26" t="s">
        <v>2484</v>
      </c>
      <c r="D455" s="26"/>
      <c r="E455" s="26"/>
    </row>
    <row r="456" spans="1:5" s="16" customFormat="1" ht="12.95" customHeight="1">
      <c r="A456" s="26" t="s">
        <v>2495</v>
      </c>
      <c r="B456" s="26"/>
      <c r="C456" s="26" t="s">
        <v>2496</v>
      </c>
      <c r="D456" s="26"/>
      <c r="E456" s="26"/>
    </row>
    <row r="457" spans="1:5" s="16" customFormat="1" ht="12.95" customHeight="1">
      <c r="A457" s="26" t="s">
        <v>2497</v>
      </c>
      <c r="B457" s="26"/>
      <c r="C457" s="26" t="s">
        <v>2498</v>
      </c>
      <c r="D457" s="26"/>
      <c r="E457" s="26"/>
    </row>
    <row r="458" spans="1:5" s="16" customFormat="1" ht="12.95" customHeight="1">
      <c r="A458" s="26" t="s">
        <v>2499</v>
      </c>
      <c r="B458" s="26"/>
      <c r="C458" s="26" t="s">
        <v>2500</v>
      </c>
      <c r="D458" s="26"/>
      <c r="E458" s="26"/>
    </row>
    <row r="459" spans="1:5" s="16" customFormat="1" ht="12.95" customHeight="1">
      <c r="A459" s="26" t="s">
        <v>2501</v>
      </c>
      <c r="B459" s="26"/>
      <c r="C459" s="26" t="s">
        <v>2489</v>
      </c>
      <c r="D459" s="26"/>
      <c r="E459" s="26"/>
    </row>
    <row r="460" spans="1:5" s="16" customFormat="1" ht="12.95" customHeight="1">
      <c r="A460" s="26" t="s">
        <v>2502</v>
      </c>
      <c r="B460" s="26"/>
      <c r="C460" s="26" t="s">
        <v>2503</v>
      </c>
      <c r="D460" s="26"/>
      <c r="E460" s="26"/>
    </row>
    <row r="461" spans="1:5" s="16" customFormat="1" ht="12.95" customHeight="1">
      <c r="A461" s="26" t="s">
        <v>2504</v>
      </c>
      <c r="B461" s="26"/>
      <c r="C461" s="26" t="s">
        <v>2505</v>
      </c>
      <c r="D461" s="26"/>
      <c r="E461" s="26"/>
    </row>
    <row r="462" spans="1:5" s="16" customFormat="1" ht="12.95" customHeight="1">
      <c r="A462" s="26" t="s">
        <v>2506</v>
      </c>
      <c r="B462" s="26"/>
      <c r="C462" s="26" t="s">
        <v>2507</v>
      </c>
      <c r="D462" s="26"/>
      <c r="E462" s="26"/>
    </row>
    <row r="463" spans="1:5" s="16" customFormat="1" ht="12.95" customHeight="1">
      <c r="A463" s="26" t="s">
        <v>2508</v>
      </c>
      <c r="B463" s="26"/>
      <c r="C463" s="26" t="s">
        <v>2509</v>
      </c>
      <c r="D463" s="26"/>
      <c r="E463" s="26"/>
    </row>
    <row r="464" spans="1:5" s="16" customFormat="1" ht="12.95" customHeight="1">
      <c r="A464" s="26" t="s">
        <v>2510</v>
      </c>
      <c r="B464" s="26"/>
      <c r="C464" s="26" t="s">
        <v>2511</v>
      </c>
      <c r="D464" s="26"/>
      <c r="E464" s="26"/>
    </row>
    <row r="465" spans="1:5" s="16" customFormat="1" ht="12.95" customHeight="1">
      <c r="A465" s="26" t="s">
        <v>2512</v>
      </c>
      <c r="B465" s="26"/>
      <c r="C465" s="26" t="s">
        <v>2513</v>
      </c>
      <c r="D465" s="26"/>
      <c r="E465" s="26"/>
    </row>
    <row r="466" spans="1:5" s="16" customFormat="1" ht="12.95" customHeight="1">
      <c r="A466" s="26" t="s">
        <v>2514</v>
      </c>
      <c r="B466" s="26"/>
      <c r="C466" s="26" t="s">
        <v>2515</v>
      </c>
      <c r="D466" s="26"/>
      <c r="E466" s="26"/>
    </row>
    <row r="467" spans="1:5" s="16" customFormat="1" ht="12.95" customHeight="1">
      <c r="A467" s="26" t="s">
        <v>2516</v>
      </c>
      <c r="B467" s="26"/>
      <c r="C467" s="26" t="s">
        <v>2517</v>
      </c>
      <c r="D467" s="26"/>
      <c r="E467" s="26"/>
    </row>
    <row r="468" spans="1:5" s="16" customFormat="1" ht="12.95" customHeight="1">
      <c r="A468" s="26" t="s">
        <v>2518</v>
      </c>
      <c r="B468" s="26"/>
      <c r="C468" s="26" t="s">
        <v>2519</v>
      </c>
      <c r="D468" s="26"/>
      <c r="E468" s="26"/>
    </row>
    <row r="469" spans="1:5" s="16" customFormat="1" ht="12.95" customHeight="1">
      <c r="A469" s="26" t="s">
        <v>2520</v>
      </c>
      <c r="B469" s="26"/>
      <c r="C469" s="26" t="s">
        <v>2521</v>
      </c>
      <c r="D469" s="26"/>
      <c r="E469" s="26"/>
    </row>
    <row r="470" spans="1:5" s="16" customFormat="1" ht="12.95" customHeight="1">
      <c r="A470" s="26" t="s">
        <v>2522</v>
      </c>
      <c r="B470" s="26"/>
      <c r="C470" s="26" t="s">
        <v>2523</v>
      </c>
      <c r="D470" s="26"/>
      <c r="E470" s="26"/>
    </row>
    <row r="471" spans="1:5" s="16" customFormat="1" ht="12.95" customHeight="1">
      <c r="A471" s="26" t="s">
        <v>2524</v>
      </c>
      <c r="B471" s="26"/>
      <c r="C471" s="26" t="s">
        <v>2525</v>
      </c>
      <c r="D471" s="26"/>
      <c r="E471" s="26"/>
    </row>
    <row r="472" spans="1:5" s="16" customFormat="1" ht="12.95" customHeight="1">
      <c r="A472" s="26" t="s">
        <v>2526</v>
      </c>
      <c r="B472" s="26"/>
      <c r="C472" s="26" t="s">
        <v>2527</v>
      </c>
      <c r="D472" s="26"/>
      <c r="E472" s="26"/>
    </row>
    <row r="473" spans="1:5" s="16" customFormat="1" ht="12.95" customHeight="1">
      <c r="A473" s="26" t="s">
        <v>2528</v>
      </c>
      <c r="B473" s="26"/>
      <c r="C473" s="26" t="s">
        <v>2529</v>
      </c>
      <c r="D473" s="26"/>
      <c r="E473" s="26"/>
    </row>
    <row r="474" spans="1:5" s="16" customFormat="1" ht="12.95" customHeight="1">
      <c r="A474" s="26" t="s">
        <v>2530</v>
      </c>
      <c r="B474" s="26"/>
      <c r="C474" s="26" t="s">
        <v>2523</v>
      </c>
      <c r="D474" s="26"/>
      <c r="E474" s="26"/>
    </row>
    <row r="475" spans="1:5" s="16" customFormat="1" ht="12.95" customHeight="1">
      <c r="A475" s="26" t="s">
        <v>2531</v>
      </c>
      <c r="B475" s="26"/>
      <c r="C475" s="26" t="s">
        <v>2525</v>
      </c>
      <c r="D475" s="26"/>
      <c r="E475" s="26"/>
    </row>
    <row r="476" spans="1:5" s="16" customFormat="1" ht="12.95" customHeight="1">
      <c r="A476" s="26" t="s">
        <v>2532</v>
      </c>
      <c r="B476" s="26"/>
      <c r="C476" s="26" t="s">
        <v>2527</v>
      </c>
      <c r="D476" s="26"/>
      <c r="E476" s="26"/>
    </row>
    <row r="477" spans="1:5" s="16" customFormat="1" ht="12.95" customHeight="1">
      <c r="A477" s="26" t="s">
        <v>2533</v>
      </c>
      <c r="B477" s="26"/>
      <c r="C477" s="26" t="s">
        <v>2529</v>
      </c>
      <c r="D477" s="26"/>
      <c r="E477" s="26"/>
    </row>
    <row r="478" spans="1:5" s="16" customFormat="1" ht="12.95" customHeight="1">
      <c r="A478" s="26" t="s">
        <v>2534</v>
      </c>
      <c r="B478" s="26"/>
      <c r="C478" s="26" t="s">
        <v>2535</v>
      </c>
      <c r="D478" s="26"/>
      <c r="E478" s="26"/>
    </row>
    <row r="479" spans="1:5" s="16" customFormat="1" ht="12.95" customHeight="1">
      <c r="A479" s="26" t="s">
        <v>2536</v>
      </c>
      <c r="B479" s="26"/>
      <c r="C479" s="26" t="s">
        <v>2537</v>
      </c>
      <c r="D479" s="26"/>
      <c r="E479" s="26"/>
    </row>
    <row r="480" spans="1:5" s="16" customFormat="1" ht="12.95" customHeight="1">
      <c r="A480" s="26" t="s">
        <v>2538</v>
      </c>
      <c r="B480" s="26"/>
      <c r="C480" s="26" t="s">
        <v>2539</v>
      </c>
      <c r="D480" s="26"/>
      <c r="E480" s="26"/>
    </row>
    <row r="481" spans="1:5" s="16" customFormat="1" ht="12.95" customHeight="1">
      <c r="A481" s="26" t="s">
        <v>2540</v>
      </c>
      <c r="B481" s="26"/>
      <c r="C481" s="26" t="s">
        <v>2541</v>
      </c>
      <c r="D481" s="26"/>
      <c r="E481" s="26"/>
    </row>
    <row r="482" spans="1:5" s="16" customFormat="1" ht="12.95" customHeight="1">
      <c r="A482" s="26" t="s">
        <v>2542</v>
      </c>
      <c r="B482" s="26"/>
      <c r="C482" s="26" t="s">
        <v>2543</v>
      </c>
      <c r="D482" s="26"/>
      <c r="E482" s="26"/>
    </row>
    <row r="483" spans="1:5" s="16" customFormat="1" ht="12.95" customHeight="1">
      <c r="A483" s="26" t="s">
        <v>2544</v>
      </c>
      <c r="B483" s="26"/>
      <c r="C483" s="26" t="s">
        <v>2545</v>
      </c>
      <c r="D483" s="26"/>
      <c r="E483" s="26"/>
    </row>
    <row r="484" spans="1:5" s="16" customFormat="1" ht="12.95" customHeight="1">
      <c r="A484" s="26" t="s">
        <v>2546</v>
      </c>
      <c r="B484" s="26"/>
      <c r="C484" s="26" t="s">
        <v>2547</v>
      </c>
      <c r="D484" s="26"/>
      <c r="E484" s="26"/>
    </row>
    <row r="485" spans="1:5" s="16" customFormat="1" ht="12.95" customHeight="1">
      <c r="A485" s="26" t="s">
        <v>2548</v>
      </c>
      <c r="B485" s="26"/>
      <c r="C485" s="26" t="s">
        <v>2549</v>
      </c>
      <c r="D485" s="26"/>
      <c r="E485" s="26"/>
    </row>
    <row r="486" spans="1:5" s="16" customFormat="1" ht="12.95" customHeight="1">
      <c r="A486" s="26" t="s">
        <v>2550</v>
      </c>
      <c r="B486" s="26"/>
      <c r="C486" s="26" t="s">
        <v>2551</v>
      </c>
      <c r="D486" s="26"/>
      <c r="E486" s="26"/>
    </row>
    <row r="487" spans="1:5" s="16" customFormat="1" ht="12.95" customHeight="1">
      <c r="A487" s="26" t="s">
        <v>2552</v>
      </c>
      <c r="B487" s="26"/>
      <c r="C487" s="26" t="s">
        <v>2553</v>
      </c>
      <c r="D487" s="26"/>
      <c r="E487" s="26"/>
    </row>
    <row r="488" spans="1:5" s="16" customFormat="1" ht="12.95" customHeight="1">
      <c r="A488" s="26" t="s">
        <v>2554</v>
      </c>
      <c r="B488" s="26"/>
      <c r="C488" s="26" t="s">
        <v>2555</v>
      </c>
      <c r="D488" s="26"/>
      <c r="E488" s="26"/>
    </row>
    <row r="489" spans="1:5" s="16" customFormat="1" ht="12.95" customHeight="1">
      <c r="A489" s="26" t="s">
        <v>2556</v>
      </c>
      <c r="B489" s="26"/>
      <c r="C489" s="26" t="s">
        <v>2557</v>
      </c>
      <c r="D489" s="26"/>
      <c r="E489" s="26"/>
    </row>
    <row r="490" spans="1:5" s="16" customFormat="1" ht="12.95" customHeight="1">
      <c r="A490" s="26" t="s">
        <v>2558</v>
      </c>
      <c r="B490" s="26"/>
      <c r="C490" s="26" t="s">
        <v>2559</v>
      </c>
      <c r="D490" s="26"/>
      <c r="E490" s="26"/>
    </row>
    <row r="491" spans="1:5" s="16" customFormat="1" ht="12.95" customHeight="1">
      <c r="A491" s="26" t="s">
        <v>2560</v>
      </c>
      <c r="B491" s="26"/>
      <c r="C491" s="26" t="s">
        <v>2561</v>
      </c>
      <c r="D491" s="26"/>
      <c r="E491" s="26"/>
    </row>
    <row r="492" spans="1:5" s="16" customFormat="1" ht="12.95" customHeight="1">
      <c r="A492" s="26" t="s">
        <v>2562</v>
      </c>
      <c r="B492" s="26"/>
      <c r="C492" s="26" t="s">
        <v>2563</v>
      </c>
      <c r="D492" s="26"/>
      <c r="E492" s="26"/>
    </row>
    <row r="493" spans="1:5" s="16" customFormat="1" ht="12.95" customHeight="1">
      <c r="A493" s="26" t="s">
        <v>2564</v>
      </c>
      <c r="B493" s="26"/>
      <c r="C493" s="26" t="s">
        <v>2565</v>
      </c>
      <c r="D493" s="26"/>
      <c r="E493" s="26"/>
    </row>
    <row r="494" spans="1:5" s="16" customFormat="1" ht="12.95" customHeight="1">
      <c r="A494" s="26" t="s">
        <v>2566</v>
      </c>
      <c r="B494" s="26"/>
      <c r="C494" s="26" t="s">
        <v>2567</v>
      </c>
      <c r="D494" s="26"/>
      <c r="E494" s="26"/>
    </row>
    <row r="495" spans="1:5" s="16" customFormat="1" ht="12.95" customHeight="1">
      <c r="A495" s="26" t="s">
        <v>2568</v>
      </c>
      <c r="B495" s="26"/>
      <c r="C495" s="26" t="s">
        <v>2569</v>
      </c>
      <c r="D495" s="26"/>
      <c r="E495" s="26"/>
    </row>
    <row r="496" spans="1:5" s="16" customFormat="1" ht="12.95" customHeight="1">
      <c r="A496" s="26" t="s">
        <v>2570</v>
      </c>
      <c r="B496" s="26"/>
      <c r="C496" s="26" t="s">
        <v>2571</v>
      </c>
      <c r="D496" s="26"/>
      <c r="E496" s="26"/>
    </row>
    <row r="497" spans="1:5" s="16" customFormat="1" ht="12.95" customHeight="1">
      <c r="A497" s="26" t="s">
        <v>2572</v>
      </c>
      <c r="B497" s="26"/>
      <c r="C497" s="26" t="s">
        <v>2573</v>
      </c>
      <c r="D497" s="26"/>
      <c r="E497" s="26"/>
    </row>
    <row r="498" spans="1:5" s="16" customFormat="1" ht="12.95" customHeight="1">
      <c r="A498" s="26" t="s">
        <v>2574</v>
      </c>
      <c r="B498" s="26"/>
      <c r="C498" s="26" t="s">
        <v>2575</v>
      </c>
      <c r="D498" s="26"/>
      <c r="E498" s="26"/>
    </row>
    <row r="499" spans="1:5" s="16" customFormat="1" ht="12.95" customHeight="1">
      <c r="A499" s="26" t="s">
        <v>2576</v>
      </c>
      <c r="B499" s="26"/>
      <c r="C499" s="26" t="s">
        <v>2577</v>
      </c>
      <c r="D499" s="26"/>
      <c r="E499" s="26"/>
    </row>
    <row r="500" spans="1:5" s="16" customFormat="1" ht="12.95" customHeight="1">
      <c r="A500" s="26" t="s">
        <v>2578</v>
      </c>
      <c r="B500" s="26"/>
      <c r="C500" s="26" t="s">
        <v>2579</v>
      </c>
      <c r="D500" s="26"/>
      <c r="E500" s="26"/>
    </row>
    <row r="501" spans="1:5" s="16" customFormat="1" ht="12.95" customHeight="1">
      <c r="A501" s="26" t="s">
        <v>2580</v>
      </c>
      <c r="B501" s="26"/>
      <c r="C501" s="26" t="s">
        <v>2581</v>
      </c>
      <c r="D501" s="26"/>
      <c r="E501" s="26"/>
    </row>
    <row r="502" spans="1:5" s="16" customFormat="1" ht="12.95" customHeight="1">
      <c r="A502" s="26" t="s">
        <v>2582</v>
      </c>
      <c r="B502" s="26"/>
      <c r="C502" s="26" t="s">
        <v>2583</v>
      </c>
      <c r="D502" s="26"/>
      <c r="E502" s="26"/>
    </row>
    <row r="503" spans="1:5" s="16" customFormat="1" ht="12.95" customHeight="1">
      <c r="A503" s="26" t="s">
        <v>2584</v>
      </c>
      <c r="B503" s="26"/>
      <c r="C503" s="26" t="s">
        <v>2585</v>
      </c>
      <c r="D503" s="26"/>
      <c r="E503" s="26"/>
    </row>
    <row r="504" spans="1:5" s="16" customFormat="1" ht="12.95" customHeight="1">
      <c r="A504" s="26" t="s">
        <v>2586</v>
      </c>
      <c r="B504" s="26"/>
      <c r="C504" s="26" t="s">
        <v>2587</v>
      </c>
      <c r="D504" s="26"/>
      <c r="E504" s="26"/>
    </row>
    <row r="505" spans="1:5" s="16" customFormat="1" ht="12.95" customHeight="1">
      <c r="A505" s="26" t="s">
        <v>2588</v>
      </c>
      <c r="B505" s="26"/>
      <c r="C505" s="26" t="s">
        <v>2589</v>
      </c>
      <c r="D505" s="26"/>
      <c r="E505" s="26"/>
    </row>
    <row r="506" spans="1:5" s="16" customFormat="1" ht="12.95" customHeight="1">
      <c r="A506" s="26" t="s">
        <v>2590</v>
      </c>
      <c r="B506" s="26"/>
      <c r="C506" s="26" t="s">
        <v>2591</v>
      </c>
      <c r="D506" s="26"/>
      <c r="E506" s="26"/>
    </row>
    <row r="507" spans="1:5" s="16" customFormat="1" ht="12.95" customHeight="1">
      <c r="A507" s="26" t="s">
        <v>2592</v>
      </c>
      <c r="B507" s="26"/>
      <c r="C507" s="26" t="s">
        <v>2593</v>
      </c>
      <c r="D507" s="26"/>
      <c r="E507" s="26"/>
    </row>
    <row r="508" spans="1:5" s="16" customFormat="1" ht="12.95" customHeight="1">
      <c r="A508" s="26" t="s">
        <v>2594</v>
      </c>
      <c r="B508" s="26"/>
      <c r="C508" s="26" t="s">
        <v>2595</v>
      </c>
      <c r="D508" s="26"/>
      <c r="E508" s="26"/>
    </row>
    <row r="509" spans="1:5" s="16" customFormat="1" ht="12.95" customHeight="1">
      <c r="A509" s="26" t="s">
        <v>2596</v>
      </c>
      <c r="B509" s="26"/>
      <c r="C509" s="26" t="s">
        <v>2597</v>
      </c>
      <c r="D509" s="26"/>
      <c r="E509" s="26"/>
    </row>
    <row r="510" spans="1:5" s="16" customFormat="1" ht="12.95" customHeight="1">
      <c r="A510" s="26" t="s">
        <v>1800</v>
      </c>
      <c r="B510" s="26"/>
      <c r="C510" s="26" t="s">
        <v>2598</v>
      </c>
      <c r="D510" s="26"/>
      <c r="E510" s="26"/>
    </row>
    <row r="511" spans="1:5" s="16" customFormat="1" ht="12.95" customHeight="1">
      <c r="A511" s="26" t="s">
        <v>2599</v>
      </c>
      <c r="B511" s="26"/>
      <c r="C511" s="26" t="s">
        <v>2600</v>
      </c>
      <c r="D511" s="26"/>
      <c r="E511" s="26"/>
    </row>
    <row r="512" spans="1:5" s="16" customFormat="1" ht="12.95" customHeight="1">
      <c r="A512" s="26" t="s">
        <v>2601</v>
      </c>
      <c r="B512" s="26"/>
      <c r="C512" s="26" t="s">
        <v>2602</v>
      </c>
      <c r="D512" s="26"/>
      <c r="E512" s="26"/>
    </row>
    <row r="513" spans="1:5" s="16" customFormat="1" ht="12.95" customHeight="1">
      <c r="A513" s="26" t="s">
        <v>2603</v>
      </c>
      <c r="B513" s="26"/>
      <c r="C513" s="26" t="s">
        <v>2593</v>
      </c>
      <c r="D513" s="26"/>
      <c r="E513" s="26"/>
    </row>
    <row r="514" spans="1:5" s="16" customFormat="1" ht="12.95" customHeight="1">
      <c r="A514" s="26" t="s">
        <v>2604</v>
      </c>
      <c r="B514" s="26"/>
      <c r="C514" s="26" t="s">
        <v>2595</v>
      </c>
      <c r="D514" s="26"/>
      <c r="E514" s="26"/>
    </row>
    <row r="515" spans="1:5" s="16" customFormat="1" ht="12.95" customHeight="1">
      <c r="A515" s="26" t="s">
        <v>2605</v>
      </c>
      <c r="B515" s="26"/>
      <c r="C515" s="26" t="s">
        <v>2598</v>
      </c>
      <c r="D515" s="26"/>
      <c r="E515" s="26"/>
    </row>
    <row r="516" spans="1:5" s="16" customFormat="1" ht="12.95" customHeight="1">
      <c r="A516" s="26" t="s">
        <v>2606</v>
      </c>
      <c r="B516" s="26"/>
      <c r="C516" s="26" t="s">
        <v>2600</v>
      </c>
      <c r="D516" s="26"/>
      <c r="E516" s="26"/>
    </row>
    <row r="517" spans="1:5" s="16" customFormat="1" ht="12.95" customHeight="1">
      <c r="A517" s="26" t="s">
        <v>2607</v>
      </c>
      <c r="B517" s="26"/>
      <c r="C517" s="26" t="s">
        <v>2602</v>
      </c>
      <c r="D517" s="26"/>
      <c r="E517" s="26"/>
    </row>
    <row r="518" spans="1:5" s="16" customFormat="1" ht="12.95" customHeight="1">
      <c r="A518" s="26" t="s">
        <v>2608</v>
      </c>
      <c r="B518" s="26"/>
      <c r="C518" s="26" t="s">
        <v>2609</v>
      </c>
      <c r="D518" s="26"/>
      <c r="E518" s="26"/>
    </row>
    <row r="519" spans="1:5" s="16" customFormat="1" ht="12.95" customHeight="1">
      <c r="A519" s="26" t="s">
        <v>2610</v>
      </c>
      <c r="B519" s="26"/>
      <c r="C519" s="26" t="s">
        <v>2593</v>
      </c>
      <c r="D519" s="26"/>
      <c r="E519" s="26"/>
    </row>
    <row r="520" spans="1:5" s="16" customFormat="1" ht="12.95" customHeight="1">
      <c r="A520" s="26" t="s">
        <v>2611</v>
      </c>
      <c r="B520" s="26"/>
      <c r="C520" s="26" t="s">
        <v>2612</v>
      </c>
      <c r="D520" s="26"/>
      <c r="E520" s="26"/>
    </row>
    <row r="521" spans="1:5" s="16" customFormat="1" ht="12.95" customHeight="1">
      <c r="A521" s="26" t="s">
        <v>2613</v>
      </c>
      <c r="B521" s="26"/>
      <c r="C521" s="26" t="s">
        <v>2614</v>
      </c>
      <c r="D521" s="26"/>
      <c r="E521" s="26"/>
    </row>
    <row r="522" spans="1:5" s="16" customFormat="1" ht="12.95" customHeight="1">
      <c r="A522" s="26" t="s">
        <v>2615</v>
      </c>
      <c r="B522" s="26"/>
      <c r="C522" s="26" t="s">
        <v>2616</v>
      </c>
      <c r="D522" s="26"/>
      <c r="E522" s="26"/>
    </row>
    <row r="523" spans="1:5" s="16" customFormat="1" ht="12.95" customHeight="1">
      <c r="A523" s="26" t="s">
        <v>2617</v>
      </c>
      <c r="B523" s="26"/>
      <c r="C523" s="26" t="s">
        <v>2618</v>
      </c>
      <c r="D523" s="26"/>
      <c r="E523" s="26"/>
    </row>
    <row r="524" spans="1:5" s="16" customFormat="1" ht="12.95" customHeight="1">
      <c r="A524" s="26" t="s">
        <v>2619</v>
      </c>
      <c r="B524" s="26"/>
      <c r="C524" s="26" t="s">
        <v>2620</v>
      </c>
      <c r="D524" s="26"/>
      <c r="E524" s="26"/>
    </row>
    <row r="525" spans="1:5" s="16" customFormat="1" ht="12.95" customHeight="1">
      <c r="A525" s="26" t="s">
        <v>2621</v>
      </c>
      <c r="B525" s="26"/>
      <c r="C525" s="26" t="s">
        <v>2622</v>
      </c>
      <c r="D525" s="26"/>
      <c r="E525" s="26"/>
    </row>
    <row r="526" spans="1:5" s="16" customFormat="1" ht="12.95" customHeight="1">
      <c r="A526" s="26" t="s">
        <v>2623</v>
      </c>
      <c r="B526" s="26"/>
      <c r="C526" s="26" t="s">
        <v>2624</v>
      </c>
      <c r="D526" s="26"/>
      <c r="E526" s="26"/>
    </row>
    <row r="527" spans="1:5" s="16" customFormat="1" ht="12.95" customHeight="1">
      <c r="A527" s="26" t="s">
        <v>2625</v>
      </c>
      <c r="B527" s="26"/>
      <c r="C527" s="26" t="s">
        <v>2626</v>
      </c>
      <c r="D527" s="26"/>
      <c r="E527" s="26"/>
    </row>
    <row r="528" spans="1:5" s="16" customFormat="1" ht="12.95" customHeight="1">
      <c r="A528" s="26" t="s">
        <v>2627</v>
      </c>
      <c r="B528" s="26"/>
      <c r="C528" s="26" t="s">
        <v>2628</v>
      </c>
      <c r="D528" s="26"/>
      <c r="E528" s="26"/>
    </row>
    <row r="529" spans="1:5" s="16" customFormat="1" ht="12.95" customHeight="1">
      <c r="A529" s="26" t="s">
        <v>2629</v>
      </c>
      <c r="B529" s="26"/>
      <c r="C529" s="26" t="s">
        <v>2630</v>
      </c>
      <c r="D529" s="26"/>
      <c r="E529" s="26"/>
    </row>
    <row r="530" spans="1:5" s="16" customFormat="1" ht="12.95" customHeight="1">
      <c r="A530" s="26" t="s">
        <v>2631</v>
      </c>
      <c r="B530" s="26"/>
      <c r="C530" s="26" t="s">
        <v>2632</v>
      </c>
      <c r="D530" s="26"/>
      <c r="E530" s="26"/>
    </row>
    <row r="531" spans="1:5" s="16" customFormat="1" ht="12.95" customHeight="1">
      <c r="A531" s="26" t="s">
        <v>2633</v>
      </c>
      <c r="B531" s="26"/>
      <c r="C531" s="26" t="s">
        <v>2634</v>
      </c>
      <c r="D531" s="26"/>
      <c r="E531" s="26"/>
    </row>
    <row r="532" spans="1:5" s="16" customFormat="1" ht="12.95" customHeight="1">
      <c r="A532" s="26" t="s">
        <v>2635</v>
      </c>
      <c r="B532" s="26"/>
      <c r="C532" s="26" t="s">
        <v>2636</v>
      </c>
      <c r="D532" s="26"/>
      <c r="E532" s="26"/>
    </row>
    <row r="533" spans="1:5" s="16" customFormat="1" ht="12.95" customHeight="1">
      <c r="A533" s="26" t="s">
        <v>2637</v>
      </c>
      <c r="B533" s="26"/>
      <c r="C533" s="26" t="s">
        <v>2638</v>
      </c>
      <c r="D533" s="26"/>
      <c r="E533" s="26"/>
    </row>
    <row r="534" spans="1:5" s="16" customFormat="1" ht="12.95" customHeight="1">
      <c r="A534" s="26" t="s">
        <v>2639</v>
      </c>
      <c r="B534" s="26"/>
      <c r="C534" s="26" t="s">
        <v>2640</v>
      </c>
      <c r="D534" s="26"/>
      <c r="E534" s="26"/>
    </row>
    <row r="535" spans="1:5" s="16" customFormat="1" ht="12.95" customHeight="1">
      <c r="A535" s="26" t="s">
        <v>2641</v>
      </c>
      <c r="B535" s="26"/>
      <c r="C535" s="26" t="s">
        <v>2642</v>
      </c>
      <c r="D535" s="26"/>
      <c r="E535" s="26"/>
    </row>
    <row r="536" spans="1:5" s="16" customFormat="1" ht="12.95" customHeight="1">
      <c r="A536" s="26" t="s">
        <v>2643</v>
      </c>
      <c r="B536" s="26"/>
      <c r="C536" s="26" t="s">
        <v>2642</v>
      </c>
      <c r="D536" s="26"/>
      <c r="E536" s="26"/>
    </row>
    <row r="537" spans="1:5" s="16" customFormat="1" ht="12.95" customHeight="1">
      <c r="A537" s="26" t="s">
        <v>2644</v>
      </c>
      <c r="B537" s="26"/>
      <c r="C537" s="26" t="s">
        <v>2645</v>
      </c>
      <c r="D537" s="26"/>
      <c r="E537" s="26"/>
    </row>
    <row r="538" spans="1:5" s="16" customFormat="1" ht="12.95" customHeight="1">
      <c r="A538" s="26" t="s">
        <v>2646</v>
      </c>
      <c r="B538" s="26"/>
      <c r="C538" s="26" t="s">
        <v>2647</v>
      </c>
      <c r="D538" s="26"/>
      <c r="E538" s="26"/>
    </row>
    <row r="539" spans="1:5" s="16" customFormat="1" ht="26.1" customHeight="1">
      <c r="A539" s="26" t="s">
        <v>2648</v>
      </c>
      <c r="B539" s="26"/>
      <c r="C539" s="26" t="s">
        <v>2649</v>
      </c>
      <c r="D539" s="26"/>
      <c r="E539" s="26"/>
    </row>
    <row r="540" spans="1:5" s="16" customFormat="1" ht="12.95" customHeight="1">
      <c r="A540" s="26" t="s">
        <v>2650</v>
      </c>
      <c r="B540" s="26"/>
      <c r="C540" s="26" t="s">
        <v>2651</v>
      </c>
      <c r="D540" s="26"/>
      <c r="E540" s="26"/>
    </row>
    <row r="541" spans="1:5" s="16" customFormat="1" ht="12.95" customHeight="1">
      <c r="A541" s="26" t="s">
        <v>2652</v>
      </c>
      <c r="B541" s="26"/>
      <c r="C541" s="26" t="s">
        <v>2653</v>
      </c>
      <c r="D541" s="26"/>
      <c r="E541" s="26"/>
    </row>
    <row r="542" spans="1:5" s="16" customFormat="1" ht="12.95" customHeight="1">
      <c r="A542" s="26" t="s">
        <v>2654</v>
      </c>
      <c r="B542" s="26"/>
      <c r="C542" s="26" t="s">
        <v>2655</v>
      </c>
      <c r="D542" s="26"/>
      <c r="E542" s="26"/>
    </row>
    <row r="543" spans="1:5" s="16" customFormat="1" ht="12.95" customHeight="1">
      <c r="A543" s="26" t="s">
        <v>2656</v>
      </c>
      <c r="B543" s="26"/>
      <c r="C543" s="26" t="s">
        <v>2657</v>
      </c>
      <c r="D543" s="26"/>
      <c r="E543" s="26"/>
    </row>
    <row r="544" spans="1:5" s="16" customFormat="1" ht="12.95" customHeight="1">
      <c r="A544" s="26" t="s">
        <v>2658</v>
      </c>
      <c r="B544" s="26"/>
      <c r="C544" s="26" t="s">
        <v>2653</v>
      </c>
      <c r="D544" s="26"/>
      <c r="E544" s="26"/>
    </row>
    <row r="545" spans="1:5" s="16" customFormat="1" ht="12.95" customHeight="1">
      <c r="A545" s="26" t="s">
        <v>2659</v>
      </c>
      <c r="B545" s="26"/>
      <c r="C545" s="26" t="s">
        <v>2655</v>
      </c>
      <c r="D545" s="26"/>
      <c r="E545" s="26"/>
    </row>
    <row r="546" spans="1:5" s="16" customFormat="1" ht="12.95" customHeight="1">
      <c r="A546" s="26" t="s">
        <v>2660</v>
      </c>
      <c r="B546" s="26"/>
      <c r="C546" s="26" t="s">
        <v>2657</v>
      </c>
      <c r="D546" s="26"/>
      <c r="E546" s="26"/>
    </row>
    <row r="547" spans="1:5" s="16" customFormat="1" ht="12.95" customHeight="1">
      <c r="A547" s="26" t="s">
        <v>2661</v>
      </c>
      <c r="B547" s="26"/>
      <c r="C547" s="26" t="s">
        <v>2662</v>
      </c>
      <c r="D547" s="26"/>
      <c r="E547" s="26"/>
    </row>
    <row r="548" spans="1:5" s="16" customFormat="1" ht="12.95" customHeight="1">
      <c r="A548" s="26" t="s">
        <v>2663</v>
      </c>
      <c r="B548" s="26"/>
      <c r="C548" s="26" t="s">
        <v>2664</v>
      </c>
      <c r="D548" s="26"/>
      <c r="E548" s="26"/>
    </row>
    <row r="549" spans="1:5" s="16" customFormat="1" ht="12.95" customHeight="1">
      <c r="A549" s="26" t="s">
        <v>2665</v>
      </c>
      <c r="B549" s="26"/>
      <c r="C549" s="26" t="s">
        <v>2664</v>
      </c>
      <c r="D549" s="26"/>
      <c r="E549" s="26"/>
    </row>
    <row r="550" spans="1:5" s="16" customFormat="1" ht="12.95" customHeight="1">
      <c r="A550" s="26" t="s">
        <v>2666</v>
      </c>
      <c r="B550" s="26"/>
      <c r="C550" s="26" t="s">
        <v>2667</v>
      </c>
      <c r="D550" s="26"/>
      <c r="E550" s="26"/>
    </row>
    <row r="551" spans="1:5" s="16" customFormat="1" ht="12.95" customHeight="1">
      <c r="A551" s="26" t="s">
        <v>2668</v>
      </c>
      <c r="B551" s="26"/>
      <c r="C551" s="26" t="s">
        <v>2669</v>
      </c>
      <c r="D551" s="26"/>
      <c r="E551" s="26"/>
    </row>
    <row r="552" spans="1:5" s="16" customFormat="1" ht="12.95" customHeight="1">
      <c r="A552" s="26" t="s">
        <v>2670</v>
      </c>
      <c r="B552" s="26"/>
      <c r="C552" s="26" t="s">
        <v>2671</v>
      </c>
      <c r="D552" s="26"/>
      <c r="E552" s="26"/>
    </row>
    <row r="553" spans="1:5" s="16" customFormat="1" ht="12.95" customHeight="1">
      <c r="A553" s="26" t="s">
        <v>2672</v>
      </c>
      <c r="B553" s="26"/>
      <c r="C553" s="26" t="s">
        <v>2673</v>
      </c>
      <c r="D553" s="26"/>
      <c r="E553" s="26"/>
    </row>
    <row r="554" spans="1:5" s="16" customFormat="1" ht="12.95" customHeight="1">
      <c r="A554" s="26" t="s">
        <v>2674</v>
      </c>
      <c r="B554" s="26"/>
      <c r="C554" s="26" t="s">
        <v>2675</v>
      </c>
      <c r="D554" s="26"/>
      <c r="E554" s="26"/>
    </row>
    <row r="555" spans="1:5" s="16" customFormat="1" ht="12.95" customHeight="1">
      <c r="A555" s="26" t="s">
        <v>2676</v>
      </c>
      <c r="B555" s="26"/>
      <c r="C555" s="26" t="s">
        <v>2677</v>
      </c>
      <c r="D555" s="26"/>
      <c r="E555" s="26"/>
    </row>
    <row r="556" spans="1:5" s="16" customFormat="1" ht="12.95" customHeight="1">
      <c r="A556" s="26" t="s">
        <v>2678</v>
      </c>
      <c r="B556" s="26"/>
      <c r="C556" s="26" t="s">
        <v>2679</v>
      </c>
      <c r="D556" s="26"/>
      <c r="E556" s="26"/>
    </row>
    <row r="557" spans="1:5" s="16" customFormat="1" ht="12.95" customHeight="1">
      <c r="A557" s="26" t="s">
        <v>2680</v>
      </c>
      <c r="B557" s="26"/>
      <c r="C557" s="26" t="s">
        <v>2681</v>
      </c>
      <c r="D557" s="26"/>
      <c r="E557" s="26"/>
    </row>
    <row r="558" spans="1:5" s="16" customFormat="1" ht="12.95" customHeight="1">
      <c r="A558" s="26" t="s">
        <v>2682</v>
      </c>
      <c r="B558" s="26"/>
      <c r="C558" s="26" t="s">
        <v>2683</v>
      </c>
      <c r="D558" s="26"/>
      <c r="E558" s="26"/>
    </row>
    <row r="559" spans="1:5" s="16" customFormat="1" ht="12.95" customHeight="1">
      <c r="A559" s="26" t="s">
        <v>2684</v>
      </c>
      <c r="B559" s="26"/>
      <c r="C559" s="26" t="s">
        <v>2685</v>
      </c>
      <c r="D559" s="26"/>
      <c r="E559" s="26"/>
    </row>
    <row r="560" spans="1:5" s="16" customFormat="1" ht="12.95" customHeight="1">
      <c r="A560" s="26" t="s">
        <v>2686</v>
      </c>
      <c r="B560" s="26"/>
      <c r="C560" s="26" t="s">
        <v>2687</v>
      </c>
      <c r="D560" s="26"/>
      <c r="E560" s="26"/>
    </row>
    <row r="561" spans="1:5" s="16" customFormat="1" ht="12.95" customHeight="1">
      <c r="A561" s="26" t="s">
        <v>2688</v>
      </c>
      <c r="B561" s="26"/>
      <c r="C561" s="26" t="s">
        <v>2689</v>
      </c>
      <c r="D561" s="26"/>
      <c r="E561" s="26"/>
    </row>
    <row r="562" spans="1:5" s="16" customFormat="1" ht="12.95" customHeight="1">
      <c r="A562" s="26" t="s">
        <v>2690</v>
      </c>
      <c r="B562" s="26"/>
      <c r="C562" s="26" t="s">
        <v>2691</v>
      </c>
      <c r="D562" s="26"/>
      <c r="E562" s="26"/>
    </row>
    <row r="563" spans="1:5" s="16" customFormat="1" ht="12.95" customHeight="1">
      <c r="A563" s="26" t="s">
        <v>2692</v>
      </c>
      <c r="B563" s="26"/>
      <c r="C563" s="26" t="s">
        <v>2693</v>
      </c>
      <c r="D563" s="26"/>
      <c r="E563" s="26"/>
    </row>
    <row r="564" spans="1:5" s="16" customFormat="1" ht="12.95" customHeight="1">
      <c r="A564" s="26" t="s">
        <v>2694</v>
      </c>
      <c r="B564" s="26"/>
      <c r="C564" s="26" t="s">
        <v>2695</v>
      </c>
      <c r="D564" s="26"/>
      <c r="E564" s="26"/>
    </row>
    <row r="565" spans="1:5" s="16" customFormat="1" ht="12.95" customHeight="1">
      <c r="A565" s="26" t="s">
        <v>2696</v>
      </c>
      <c r="B565" s="26"/>
      <c r="C565" s="26" t="s">
        <v>2697</v>
      </c>
      <c r="D565" s="26"/>
      <c r="E565" s="26"/>
    </row>
    <row r="566" spans="1:5" s="16" customFormat="1" ht="12.95" customHeight="1">
      <c r="A566" s="26" t="s">
        <v>2698</v>
      </c>
      <c r="B566" s="26"/>
      <c r="C566" s="26" t="s">
        <v>2699</v>
      </c>
      <c r="D566" s="26"/>
      <c r="E566" s="26"/>
    </row>
    <row r="567" spans="1:5" s="16" customFormat="1" ht="12.95" customHeight="1">
      <c r="A567" s="26" t="s">
        <v>2700</v>
      </c>
      <c r="B567" s="26"/>
      <c r="C567" s="26" t="s">
        <v>2701</v>
      </c>
      <c r="D567" s="26"/>
      <c r="E567" s="26"/>
    </row>
    <row r="568" spans="1:5" s="16" customFormat="1" ht="12.95" customHeight="1">
      <c r="A568" s="26" t="s">
        <v>2702</v>
      </c>
      <c r="B568" s="26"/>
      <c r="C568" s="26" t="s">
        <v>2703</v>
      </c>
      <c r="D568" s="26"/>
      <c r="E568" s="26"/>
    </row>
    <row r="569" spans="1:5" s="16" customFormat="1" ht="12.95" customHeight="1">
      <c r="A569" s="26" t="s">
        <v>2704</v>
      </c>
      <c r="B569" s="26"/>
      <c r="C569" s="26" t="s">
        <v>2705</v>
      </c>
      <c r="D569" s="26"/>
      <c r="E569" s="26"/>
    </row>
    <row r="570" spans="1:5" s="16" customFormat="1" ht="12.95" customHeight="1">
      <c r="A570" s="26" t="s">
        <v>795</v>
      </c>
      <c r="B570" s="26"/>
      <c r="C570" s="26" t="s">
        <v>2706</v>
      </c>
      <c r="D570" s="26"/>
      <c r="E570" s="26"/>
    </row>
    <row r="571" spans="1:5" s="16" customFormat="1" ht="12.95" customHeight="1">
      <c r="A571" s="26" t="s">
        <v>2707</v>
      </c>
      <c r="B571" s="26"/>
      <c r="C571" s="26" t="s">
        <v>2703</v>
      </c>
      <c r="D571" s="26"/>
      <c r="E571" s="26"/>
    </row>
    <row r="572" spans="1:5" s="16" customFormat="1" ht="12.95" customHeight="1">
      <c r="A572" s="26" t="s">
        <v>134</v>
      </c>
      <c r="B572" s="26"/>
      <c r="C572" s="26" t="s">
        <v>2708</v>
      </c>
      <c r="D572" s="26"/>
      <c r="E572" s="26"/>
    </row>
    <row r="573" spans="1:5" s="16" customFormat="1" ht="12.95" customHeight="1">
      <c r="A573" s="26" t="s">
        <v>2709</v>
      </c>
      <c r="B573" s="26"/>
      <c r="C573" s="26" t="s">
        <v>2705</v>
      </c>
      <c r="D573" s="26"/>
      <c r="E573" s="26"/>
    </row>
    <row r="574" spans="1:5" s="16" customFormat="1" ht="12.95" customHeight="1">
      <c r="A574" s="26" t="s">
        <v>2710</v>
      </c>
      <c r="B574" s="26"/>
      <c r="C574" s="26" t="s">
        <v>2706</v>
      </c>
      <c r="D574" s="26"/>
      <c r="E574" s="26"/>
    </row>
    <row r="575" spans="1:5" s="16" customFormat="1" ht="12.95" customHeight="1">
      <c r="A575" s="26" t="s">
        <v>2711</v>
      </c>
      <c r="B575" s="26"/>
      <c r="C575" s="26" t="s">
        <v>2712</v>
      </c>
      <c r="D575" s="26"/>
      <c r="E575" s="26"/>
    </row>
    <row r="576" spans="1:5" s="16" customFormat="1" ht="12.95" customHeight="1">
      <c r="A576" s="26" t="s">
        <v>2713</v>
      </c>
      <c r="B576" s="26"/>
      <c r="C576" s="26" t="s">
        <v>2714</v>
      </c>
      <c r="D576" s="26"/>
      <c r="E576" s="26"/>
    </row>
    <row r="577" spans="1:5" s="16" customFormat="1" ht="12.95" customHeight="1">
      <c r="A577" s="26" t="s">
        <v>2715</v>
      </c>
      <c r="B577" s="26"/>
      <c r="C577" s="26" t="s">
        <v>2705</v>
      </c>
      <c r="D577" s="26"/>
      <c r="E577" s="26"/>
    </row>
    <row r="578" spans="1:5" s="16" customFormat="1" ht="12.95" customHeight="1">
      <c r="A578" s="26" t="s">
        <v>2716</v>
      </c>
      <c r="B578" s="26"/>
      <c r="C578" s="26" t="s">
        <v>2717</v>
      </c>
      <c r="D578" s="26"/>
      <c r="E578" s="26"/>
    </row>
    <row r="579" spans="1:5" s="16" customFormat="1" ht="12.95" customHeight="1">
      <c r="A579" s="26" t="s">
        <v>2718</v>
      </c>
      <c r="B579" s="26"/>
      <c r="C579" s="26" t="s">
        <v>2719</v>
      </c>
      <c r="D579" s="26"/>
      <c r="E579" s="26"/>
    </row>
    <row r="580" spans="1:5" s="16" customFormat="1" ht="12.95" customHeight="1">
      <c r="A580" s="26" t="s">
        <v>2720</v>
      </c>
      <c r="B580" s="26"/>
      <c r="C580" s="26" t="s">
        <v>2721</v>
      </c>
      <c r="D580" s="26"/>
      <c r="E580" s="26"/>
    </row>
    <row r="581" spans="1:5" s="16" customFormat="1" ht="12.95" customHeight="1">
      <c r="A581" s="26" t="s">
        <v>2722</v>
      </c>
      <c r="B581" s="26"/>
      <c r="C581" s="26" t="s">
        <v>2723</v>
      </c>
      <c r="D581" s="26"/>
      <c r="E581" s="26"/>
    </row>
    <row r="582" spans="1:5" s="16" customFormat="1" ht="12.95" customHeight="1">
      <c r="A582" s="26" t="s">
        <v>2724</v>
      </c>
      <c r="B582" s="26"/>
      <c r="C582" s="26" t="s">
        <v>2725</v>
      </c>
      <c r="D582" s="26"/>
      <c r="E582" s="26"/>
    </row>
    <row r="583" spans="1:5" s="16" customFormat="1" ht="12.95" customHeight="1">
      <c r="A583" s="26" t="s">
        <v>2726</v>
      </c>
      <c r="B583" s="26"/>
      <c r="C583" s="26" t="s">
        <v>2727</v>
      </c>
      <c r="D583" s="26"/>
      <c r="E583" s="26"/>
    </row>
    <row r="584" spans="1:5" s="16" customFormat="1" ht="12.95" customHeight="1">
      <c r="A584" s="26" t="s">
        <v>2728</v>
      </c>
      <c r="B584" s="26"/>
      <c r="C584" s="26" t="s">
        <v>2729</v>
      </c>
      <c r="D584" s="26"/>
      <c r="E584" s="26"/>
    </row>
    <row r="585" spans="1:5" s="16" customFormat="1" ht="12.95" customHeight="1">
      <c r="A585" s="26" t="s">
        <v>2730</v>
      </c>
      <c r="B585" s="26"/>
      <c r="C585" s="26" t="s">
        <v>2731</v>
      </c>
      <c r="D585" s="26"/>
      <c r="E585" s="26"/>
    </row>
    <row r="586" spans="1:5" s="16" customFormat="1" ht="12.95" customHeight="1">
      <c r="A586" s="26" t="s">
        <v>2732</v>
      </c>
      <c r="B586" s="26"/>
      <c r="C586" s="26" t="s">
        <v>2733</v>
      </c>
      <c r="D586" s="26"/>
      <c r="E586" s="26"/>
    </row>
    <row r="587" spans="1:5" s="16" customFormat="1" ht="12.95" customHeight="1">
      <c r="A587" s="26" t="s">
        <v>2734</v>
      </c>
      <c r="B587" s="26"/>
      <c r="C587" s="26" t="s">
        <v>2735</v>
      </c>
      <c r="D587" s="26"/>
      <c r="E587" s="26"/>
    </row>
    <row r="588" spans="1:5" s="16" customFormat="1" ht="12.95" customHeight="1">
      <c r="A588" s="26" t="s">
        <v>2736</v>
      </c>
      <c r="B588" s="26"/>
      <c r="C588" s="26" t="s">
        <v>2737</v>
      </c>
      <c r="D588" s="26"/>
      <c r="E588" s="26"/>
    </row>
    <row r="589" spans="1:5" s="16" customFormat="1" ht="12.95" customHeight="1">
      <c r="A589" s="26" t="s">
        <v>2738</v>
      </c>
      <c r="B589" s="26"/>
      <c r="C589" s="26" t="s">
        <v>2739</v>
      </c>
      <c r="D589" s="26"/>
      <c r="E589" s="26"/>
    </row>
    <row r="590" spans="1:5" s="16" customFormat="1" ht="12.95" customHeight="1">
      <c r="A590" s="26" t="s">
        <v>2740</v>
      </c>
      <c r="B590" s="26"/>
      <c r="C590" s="26" t="s">
        <v>2741</v>
      </c>
      <c r="D590" s="26"/>
      <c r="E590" s="26"/>
    </row>
    <row r="591" spans="1:5" s="16" customFormat="1" ht="12.95" customHeight="1">
      <c r="A591" s="26" t="s">
        <v>2740</v>
      </c>
      <c r="B591" s="26"/>
      <c r="C591" s="26" t="s">
        <v>2741</v>
      </c>
      <c r="D591" s="26"/>
      <c r="E591" s="26"/>
    </row>
    <row r="592" spans="1:5" s="16" customFormat="1" ht="12.95" customHeight="1">
      <c r="A592" s="26" t="s">
        <v>2742</v>
      </c>
      <c r="B592" s="26"/>
      <c r="C592" s="26" t="s">
        <v>2743</v>
      </c>
      <c r="D592" s="26"/>
      <c r="E592" s="26"/>
    </row>
    <row r="593" spans="1:5" s="16" customFormat="1" ht="12.95" customHeight="1">
      <c r="A593" s="26" t="s">
        <v>2744</v>
      </c>
      <c r="B593" s="26"/>
      <c r="C593" s="26" t="s">
        <v>2745</v>
      </c>
      <c r="D593" s="26"/>
      <c r="E593" s="26"/>
    </row>
    <row r="594" spans="1:5" s="16" customFormat="1" ht="12.95" customHeight="1">
      <c r="A594" s="26" t="s">
        <v>2746</v>
      </c>
      <c r="B594" s="26"/>
      <c r="C594" s="26" t="s">
        <v>2747</v>
      </c>
      <c r="D594" s="26"/>
      <c r="E594" s="26"/>
    </row>
    <row r="595" spans="1:5" s="16" customFormat="1" ht="12.95" customHeight="1">
      <c r="A595" s="26" t="s">
        <v>2748</v>
      </c>
      <c r="B595" s="26"/>
      <c r="C595" s="26" t="s">
        <v>2749</v>
      </c>
      <c r="D595" s="26"/>
      <c r="E595" s="26"/>
    </row>
    <row r="596" spans="1:5" s="16" customFormat="1" ht="12.95" customHeight="1">
      <c r="A596" s="26" t="s">
        <v>2750</v>
      </c>
      <c r="B596" s="26"/>
      <c r="C596" s="26" t="s">
        <v>2751</v>
      </c>
      <c r="D596" s="26"/>
      <c r="E596" s="26"/>
    </row>
    <row r="597" spans="1:5" s="16" customFormat="1" ht="12.95" customHeight="1">
      <c r="A597" s="26" t="s">
        <v>2752</v>
      </c>
      <c r="B597" s="26"/>
      <c r="C597" s="26" t="s">
        <v>2753</v>
      </c>
      <c r="D597" s="26"/>
      <c r="E597" s="26"/>
    </row>
    <row r="598" spans="1:5" s="16" customFormat="1" ht="12.95" customHeight="1">
      <c r="A598" s="26" t="s">
        <v>2754</v>
      </c>
      <c r="B598" s="26"/>
      <c r="C598" s="26" t="s">
        <v>2755</v>
      </c>
      <c r="D598" s="26"/>
      <c r="E598" s="26"/>
    </row>
    <row r="599" spans="1:5" s="16" customFormat="1" ht="12.95" customHeight="1">
      <c r="A599" s="26" t="s">
        <v>936</v>
      </c>
      <c r="B599" s="26"/>
      <c r="C599" s="26" t="s">
        <v>2756</v>
      </c>
      <c r="D599" s="26"/>
      <c r="E599" s="26"/>
    </row>
    <row r="600" spans="1:5" s="16" customFormat="1" ht="12.95" customHeight="1">
      <c r="A600" s="26" t="s">
        <v>948</v>
      </c>
      <c r="B600" s="26"/>
      <c r="C600" s="26" t="s">
        <v>2757</v>
      </c>
      <c r="D600" s="26"/>
      <c r="E600" s="26"/>
    </row>
    <row r="601" spans="1:5" s="16" customFormat="1" ht="12.95" customHeight="1">
      <c r="A601" s="26" t="s">
        <v>2758</v>
      </c>
      <c r="B601" s="26"/>
      <c r="C601" s="26" t="s">
        <v>2759</v>
      </c>
      <c r="D601" s="26"/>
      <c r="E601" s="26"/>
    </row>
    <row r="602" spans="1:5" s="16" customFormat="1" ht="12.95" customHeight="1">
      <c r="A602" s="26" t="s">
        <v>2760</v>
      </c>
      <c r="B602" s="26"/>
      <c r="C602" s="26" t="s">
        <v>2761</v>
      </c>
      <c r="D602" s="26"/>
      <c r="E602" s="26"/>
    </row>
    <row r="603" spans="1:5" s="16" customFormat="1" ht="12.95" customHeight="1">
      <c r="A603" s="26" t="s">
        <v>2345</v>
      </c>
      <c r="B603" s="26"/>
      <c r="C603" s="26" t="s">
        <v>2762</v>
      </c>
      <c r="D603" s="26"/>
      <c r="E603" s="26"/>
    </row>
    <row r="604" spans="1:5" s="16" customFormat="1" ht="12.95" customHeight="1">
      <c r="A604" s="26" t="s">
        <v>2763</v>
      </c>
      <c r="B604" s="26"/>
      <c r="C604" s="26" t="s">
        <v>2764</v>
      </c>
      <c r="D604" s="26"/>
      <c r="E604" s="26"/>
    </row>
    <row r="605" spans="1:5" s="16" customFormat="1" ht="12.95" customHeight="1">
      <c r="A605" s="26" t="s">
        <v>2765</v>
      </c>
      <c r="B605" s="26"/>
      <c r="C605" s="26" t="s">
        <v>2766</v>
      </c>
      <c r="D605" s="26"/>
      <c r="E605" s="26"/>
    </row>
    <row r="606" spans="1:5" s="16" customFormat="1" ht="12.95" customHeight="1">
      <c r="A606" s="26" t="s">
        <v>2767</v>
      </c>
      <c r="B606" s="26"/>
      <c r="C606" s="26" t="s">
        <v>2768</v>
      </c>
      <c r="D606" s="26"/>
      <c r="E606" s="26"/>
    </row>
    <row r="607" spans="1:5" s="16" customFormat="1" ht="12.95" customHeight="1">
      <c r="A607" s="26" t="s">
        <v>1076</v>
      </c>
      <c r="B607" s="26"/>
      <c r="C607" s="26" t="s">
        <v>2756</v>
      </c>
      <c r="D607" s="26"/>
      <c r="E607" s="26"/>
    </row>
    <row r="608" spans="1:5" s="16" customFormat="1" ht="12.95" customHeight="1">
      <c r="A608" s="26" t="s">
        <v>2769</v>
      </c>
      <c r="B608" s="26"/>
      <c r="C608" s="26" t="s">
        <v>2757</v>
      </c>
      <c r="D608" s="26"/>
      <c r="E608" s="26"/>
    </row>
    <row r="609" spans="1:5" s="16" customFormat="1" ht="12.95" customHeight="1">
      <c r="A609" s="26" t="s">
        <v>2770</v>
      </c>
      <c r="B609" s="26"/>
      <c r="C609" s="26" t="s">
        <v>2759</v>
      </c>
      <c r="D609" s="26"/>
      <c r="E609" s="26"/>
    </row>
    <row r="610" spans="1:5" s="16" customFormat="1" ht="12.95" customHeight="1">
      <c r="A610" s="26" t="s">
        <v>2771</v>
      </c>
      <c r="B610" s="26"/>
      <c r="C610" s="26" t="s">
        <v>2761</v>
      </c>
      <c r="D610" s="26"/>
      <c r="E610" s="26"/>
    </row>
    <row r="611" spans="1:5" s="16" customFormat="1" ht="12.95" customHeight="1">
      <c r="A611" s="26" t="s">
        <v>2772</v>
      </c>
      <c r="B611" s="26"/>
      <c r="C611" s="26" t="s">
        <v>2762</v>
      </c>
      <c r="D611" s="26"/>
      <c r="E611" s="26"/>
    </row>
    <row r="612" spans="1:5" s="16" customFormat="1" ht="12.95" customHeight="1">
      <c r="A612" s="26" t="s">
        <v>2773</v>
      </c>
      <c r="B612" s="26"/>
      <c r="C612" s="26" t="s">
        <v>2764</v>
      </c>
      <c r="D612" s="26"/>
      <c r="E612" s="26"/>
    </row>
    <row r="613" spans="1:5" s="16" customFormat="1" ht="12.95" customHeight="1">
      <c r="A613" s="26" t="s">
        <v>2774</v>
      </c>
      <c r="B613" s="26"/>
      <c r="C613" s="26" t="s">
        <v>2766</v>
      </c>
      <c r="D613" s="26"/>
      <c r="E613" s="26"/>
    </row>
    <row r="614" spans="1:5" s="16" customFormat="1" ht="12.95" customHeight="1">
      <c r="A614" s="26" t="s">
        <v>2775</v>
      </c>
      <c r="B614" s="26"/>
      <c r="C614" s="26" t="s">
        <v>2776</v>
      </c>
      <c r="D614" s="26"/>
      <c r="E614" s="26"/>
    </row>
    <row r="615" spans="1:5" s="16" customFormat="1" ht="12.95" customHeight="1">
      <c r="A615" s="26" t="s">
        <v>2777</v>
      </c>
      <c r="B615" s="26"/>
      <c r="C615" s="26" t="s">
        <v>2778</v>
      </c>
      <c r="D615" s="26"/>
      <c r="E615" s="26"/>
    </row>
    <row r="616" spans="1:5" s="16" customFormat="1" ht="12.95" customHeight="1">
      <c r="A616" s="26" t="s">
        <v>2779</v>
      </c>
      <c r="B616" s="26"/>
      <c r="C616" s="26" t="s">
        <v>2780</v>
      </c>
      <c r="D616" s="26"/>
      <c r="E616" s="26"/>
    </row>
    <row r="617" spans="1:5" s="16" customFormat="1" ht="12.95" customHeight="1">
      <c r="A617" s="26" t="s">
        <v>2781</v>
      </c>
      <c r="B617" s="26"/>
      <c r="C617" s="26" t="s">
        <v>2782</v>
      </c>
      <c r="D617" s="26"/>
      <c r="E617" s="26"/>
    </row>
    <row r="618" spans="1:5" s="16" customFormat="1" ht="12.95" customHeight="1">
      <c r="A618" s="26" t="s">
        <v>2783</v>
      </c>
      <c r="B618" s="26"/>
      <c r="C618" s="26" t="s">
        <v>2784</v>
      </c>
      <c r="D618" s="26"/>
      <c r="E618" s="26"/>
    </row>
    <row r="619" spans="1:5" s="16" customFormat="1" ht="12.95" customHeight="1">
      <c r="A619" s="26" t="s">
        <v>2783</v>
      </c>
      <c r="B619" s="26"/>
      <c r="C619" s="26" t="s">
        <v>2784</v>
      </c>
      <c r="D619" s="26"/>
      <c r="E619" s="26"/>
    </row>
    <row r="620" spans="1:5" s="16" customFormat="1" ht="12.95" customHeight="1">
      <c r="A620" s="26" t="s">
        <v>2785</v>
      </c>
      <c r="B620" s="26"/>
      <c r="C620" s="26" t="s">
        <v>2786</v>
      </c>
      <c r="D620" s="26"/>
      <c r="E620" s="26"/>
    </row>
    <row r="621" spans="1:5" s="16" customFormat="1" ht="12.95" customHeight="1">
      <c r="A621" s="26" t="s">
        <v>2787</v>
      </c>
      <c r="B621" s="26"/>
      <c r="C621" s="26" t="s">
        <v>2786</v>
      </c>
      <c r="D621" s="26"/>
      <c r="E621" s="26"/>
    </row>
    <row r="622" spans="1:5" s="16" customFormat="1" ht="12.95" customHeight="1">
      <c r="A622" s="26" t="s">
        <v>2788</v>
      </c>
      <c r="B622" s="26"/>
      <c r="C622" s="26" t="s">
        <v>2789</v>
      </c>
      <c r="D622" s="26"/>
      <c r="E622" s="26"/>
    </row>
    <row r="623" spans="1:5" s="16" customFormat="1" ht="12.95" customHeight="1">
      <c r="A623" s="26" t="s">
        <v>2790</v>
      </c>
      <c r="B623" s="26"/>
      <c r="C623" s="26" t="s">
        <v>2791</v>
      </c>
      <c r="D623" s="26"/>
      <c r="E623" s="26"/>
    </row>
    <row r="624" spans="1:5" s="16" customFormat="1" ht="12.95" customHeight="1">
      <c r="A624" s="26" t="s">
        <v>2792</v>
      </c>
      <c r="B624" s="26"/>
      <c r="C624" s="26" t="s">
        <v>2793</v>
      </c>
      <c r="D624" s="26"/>
      <c r="E624" s="26"/>
    </row>
    <row r="625" spans="1:5" s="16" customFormat="1" ht="12.95" customHeight="1">
      <c r="A625" s="26" t="s">
        <v>2794</v>
      </c>
      <c r="B625" s="26"/>
      <c r="C625" s="26" t="s">
        <v>2795</v>
      </c>
      <c r="D625" s="26"/>
      <c r="E625" s="26"/>
    </row>
    <row r="626" spans="1:5" s="16" customFormat="1" ht="12.95" customHeight="1">
      <c r="A626" s="26" t="s">
        <v>2796</v>
      </c>
      <c r="B626" s="26"/>
      <c r="C626" s="26" t="s">
        <v>2797</v>
      </c>
      <c r="D626" s="26"/>
      <c r="E626" s="26"/>
    </row>
    <row r="627" spans="1:5" s="16" customFormat="1" ht="12.95" customHeight="1">
      <c r="A627" s="26" t="s">
        <v>2798</v>
      </c>
      <c r="B627" s="26"/>
      <c r="C627" s="26" t="s">
        <v>2797</v>
      </c>
      <c r="D627" s="26"/>
      <c r="E627" s="26"/>
    </row>
    <row r="628" spans="1:5" s="16" customFormat="1" ht="12.95" customHeight="1">
      <c r="A628" s="26" t="s">
        <v>2799</v>
      </c>
      <c r="B628" s="26"/>
      <c r="C628" s="26" t="s">
        <v>2800</v>
      </c>
      <c r="D628" s="26"/>
      <c r="E628" s="26"/>
    </row>
    <row r="629" spans="1:5" s="16" customFormat="1" ht="12.95" customHeight="1">
      <c r="A629" s="26" t="s">
        <v>2801</v>
      </c>
      <c r="B629" s="26"/>
      <c r="C629" s="26" t="s">
        <v>2793</v>
      </c>
      <c r="D629" s="26"/>
      <c r="E629" s="26"/>
    </row>
    <row r="630" spans="1:5" s="16" customFormat="1" ht="12.95" customHeight="1">
      <c r="A630" s="26" t="s">
        <v>2802</v>
      </c>
      <c r="B630" s="26"/>
      <c r="C630" s="26" t="s">
        <v>2803</v>
      </c>
      <c r="D630" s="26"/>
      <c r="E630" s="26"/>
    </row>
    <row r="631" spans="1:5" s="16" customFormat="1" ht="12.95" customHeight="1">
      <c r="A631" s="26" t="s">
        <v>2804</v>
      </c>
      <c r="B631" s="26"/>
      <c r="C631" s="26" t="s">
        <v>2805</v>
      </c>
      <c r="D631" s="26"/>
      <c r="E631" s="26"/>
    </row>
    <row r="632" spans="1:5" s="16" customFormat="1" ht="12.95" customHeight="1">
      <c r="A632" s="26" t="s">
        <v>2806</v>
      </c>
      <c r="B632" s="26"/>
      <c r="C632" s="26" t="s">
        <v>2797</v>
      </c>
      <c r="D632" s="26"/>
      <c r="E632" s="26"/>
    </row>
    <row r="633" spans="1:5" s="16" customFormat="1" ht="12.95" customHeight="1">
      <c r="A633" s="26" t="s">
        <v>2807</v>
      </c>
      <c r="B633" s="26"/>
      <c r="C633" s="26" t="s">
        <v>2808</v>
      </c>
      <c r="D633" s="26"/>
      <c r="E633" s="26"/>
    </row>
    <row r="634" spans="1:5" s="16" customFormat="1" ht="12.95" customHeight="1">
      <c r="A634" s="26" t="s">
        <v>2809</v>
      </c>
      <c r="B634" s="26"/>
      <c r="C634" s="26" t="s">
        <v>2810</v>
      </c>
      <c r="D634" s="26"/>
      <c r="E634" s="26"/>
    </row>
    <row r="635" spans="1:5" s="16" customFormat="1" ht="12.95" customHeight="1">
      <c r="A635" s="26" t="s">
        <v>2811</v>
      </c>
      <c r="B635" s="26"/>
      <c r="C635" s="26" t="s">
        <v>2812</v>
      </c>
      <c r="D635" s="26"/>
      <c r="E635" s="26"/>
    </row>
    <row r="636" spans="1:5" s="16" customFormat="1" ht="12.95" customHeight="1">
      <c r="A636" s="26" t="s">
        <v>2813</v>
      </c>
      <c r="B636" s="26"/>
      <c r="C636" s="26" t="s">
        <v>2814</v>
      </c>
      <c r="D636" s="26"/>
      <c r="E636" s="26"/>
    </row>
    <row r="637" spans="1:5" s="16" customFormat="1" ht="12.95" customHeight="1">
      <c r="A637" s="26" t="s">
        <v>2815</v>
      </c>
      <c r="B637" s="26"/>
      <c r="C637" s="26" t="s">
        <v>2816</v>
      </c>
      <c r="D637" s="26"/>
      <c r="E637" s="26"/>
    </row>
    <row r="638" spans="1:5" s="16" customFormat="1" ht="12.95" customHeight="1">
      <c r="A638" s="26" t="s">
        <v>2817</v>
      </c>
      <c r="B638" s="26"/>
      <c r="C638" s="26" t="s">
        <v>2818</v>
      </c>
      <c r="D638" s="26"/>
      <c r="E638" s="26"/>
    </row>
    <row r="639" spans="1:5" s="16" customFormat="1" ht="12.95" customHeight="1">
      <c r="A639" s="26" t="s">
        <v>2819</v>
      </c>
      <c r="B639" s="26"/>
      <c r="C639" s="26" t="s">
        <v>2820</v>
      </c>
      <c r="D639" s="26"/>
      <c r="E639" s="26"/>
    </row>
    <row r="640" spans="1:5" s="16" customFormat="1" ht="12.95" customHeight="1">
      <c r="A640" s="26" t="s">
        <v>2821</v>
      </c>
      <c r="B640" s="26"/>
      <c r="C640" s="26" t="s">
        <v>2822</v>
      </c>
      <c r="D640" s="26"/>
      <c r="E640" s="26"/>
    </row>
    <row r="641" spans="1:5" s="16" customFormat="1" ht="12.95" customHeight="1">
      <c r="A641" s="26" t="s">
        <v>653</v>
      </c>
      <c r="B641" s="26"/>
      <c r="C641" s="26" t="s">
        <v>2823</v>
      </c>
      <c r="D641" s="26"/>
      <c r="E641" s="26"/>
    </row>
    <row r="642" spans="1:5" s="16" customFormat="1" ht="12.95" customHeight="1">
      <c r="A642" s="26" t="s">
        <v>2824</v>
      </c>
      <c r="B642" s="26"/>
      <c r="C642" s="26" t="s">
        <v>2825</v>
      </c>
      <c r="D642" s="26"/>
      <c r="E642" s="26"/>
    </row>
    <row r="643" spans="1:5" s="16" customFormat="1" ht="12.95" customHeight="1">
      <c r="A643" s="26" t="s">
        <v>2826</v>
      </c>
      <c r="B643" s="26"/>
      <c r="C643" s="26" t="s">
        <v>2827</v>
      </c>
      <c r="D643" s="26"/>
      <c r="E643" s="26"/>
    </row>
    <row r="644" spans="1:5" s="16" customFormat="1" ht="12.95" customHeight="1">
      <c r="A644" s="26" t="s">
        <v>2828</v>
      </c>
      <c r="B644" s="26"/>
      <c r="C644" s="26" t="s">
        <v>2825</v>
      </c>
      <c r="D644" s="26"/>
      <c r="E644" s="26"/>
    </row>
    <row r="645" spans="1:5" s="16" customFormat="1" ht="12.95" customHeight="1">
      <c r="A645" s="26" t="s">
        <v>2829</v>
      </c>
      <c r="B645" s="26"/>
      <c r="C645" s="26" t="s">
        <v>2830</v>
      </c>
      <c r="D645" s="26"/>
      <c r="E645" s="26"/>
    </row>
    <row r="646" spans="1:5" s="16" customFormat="1" ht="12.95" customHeight="1">
      <c r="A646" s="26" t="s">
        <v>2831</v>
      </c>
      <c r="B646" s="26"/>
      <c r="C646" s="26" t="s">
        <v>2832</v>
      </c>
      <c r="D646" s="26"/>
      <c r="E646" s="26"/>
    </row>
    <row r="647" spans="1:5" s="16" customFormat="1" ht="12.95" customHeight="1">
      <c r="A647" s="26" t="s">
        <v>2833</v>
      </c>
      <c r="B647" s="26"/>
      <c r="C647" s="26" t="s">
        <v>2834</v>
      </c>
      <c r="D647" s="26"/>
      <c r="E647" s="26"/>
    </row>
    <row r="648" spans="1:5" s="16" customFormat="1" ht="12.95" customHeight="1">
      <c r="A648" s="26" t="s">
        <v>2835</v>
      </c>
      <c r="B648" s="26"/>
      <c r="C648" s="26" t="s">
        <v>2836</v>
      </c>
      <c r="D648" s="26"/>
      <c r="E648" s="26"/>
    </row>
    <row r="649" spans="1:5" s="16" customFormat="1" ht="12.95" customHeight="1">
      <c r="A649" s="26" t="s">
        <v>2837</v>
      </c>
      <c r="B649" s="26"/>
      <c r="C649" s="26" t="s">
        <v>2838</v>
      </c>
      <c r="D649" s="26"/>
      <c r="E649" s="26"/>
    </row>
    <row r="650" spans="1:5" s="16" customFormat="1" ht="12.95" customHeight="1">
      <c r="A650" s="26" t="s">
        <v>2839</v>
      </c>
      <c r="B650" s="26"/>
      <c r="C650" s="26" t="s">
        <v>2840</v>
      </c>
      <c r="D650" s="26"/>
      <c r="E650" s="26"/>
    </row>
    <row r="651" spans="1:5" s="16" customFormat="1" ht="12.95" customHeight="1">
      <c r="A651" s="26" t="s">
        <v>2841</v>
      </c>
      <c r="B651" s="26"/>
      <c r="C651" s="26" t="s">
        <v>2842</v>
      </c>
      <c r="D651" s="26"/>
      <c r="E651" s="26"/>
    </row>
    <row r="652" spans="1:5" s="16" customFormat="1" ht="12.95" customHeight="1">
      <c r="A652" s="26" t="s">
        <v>2843</v>
      </c>
      <c r="B652" s="26"/>
      <c r="C652" s="26" t="s">
        <v>2844</v>
      </c>
      <c r="D652" s="26"/>
      <c r="E652" s="26"/>
    </row>
    <row r="653" spans="1:5" s="16" customFormat="1" ht="12.95" customHeight="1">
      <c r="A653" s="26" t="s">
        <v>2845</v>
      </c>
      <c r="B653" s="26"/>
      <c r="C653" s="26" t="s">
        <v>2846</v>
      </c>
      <c r="D653" s="26"/>
      <c r="E653" s="26"/>
    </row>
    <row r="654" spans="1:5" s="16" customFormat="1" ht="12.95" customHeight="1">
      <c r="A654" s="26" t="s">
        <v>2847</v>
      </c>
      <c r="B654" s="26"/>
      <c r="C654" s="26" t="s">
        <v>2848</v>
      </c>
      <c r="D654" s="26"/>
      <c r="E654" s="26"/>
    </row>
    <row r="655" spans="1:5" s="16" customFormat="1" ht="12.95" customHeight="1">
      <c r="A655" s="26" t="s">
        <v>2849</v>
      </c>
      <c r="B655" s="26"/>
      <c r="C655" s="26" t="s">
        <v>2842</v>
      </c>
      <c r="D655" s="26"/>
      <c r="E655" s="26"/>
    </row>
    <row r="656" spans="1:5" s="16" customFormat="1" ht="12.95" customHeight="1">
      <c r="A656" s="26" t="s">
        <v>2850</v>
      </c>
      <c r="B656" s="26"/>
      <c r="C656" s="26" t="s">
        <v>2851</v>
      </c>
      <c r="D656" s="26"/>
      <c r="E656" s="26"/>
    </row>
    <row r="657" spans="1:5" s="16" customFormat="1" ht="12.95" customHeight="1">
      <c r="A657" s="26" t="s">
        <v>2852</v>
      </c>
      <c r="B657" s="26"/>
      <c r="C657" s="26" t="s">
        <v>2844</v>
      </c>
      <c r="D657" s="26"/>
      <c r="E657" s="26"/>
    </row>
    <row r="658" spans="1:5" s="16" customFormat="1" ht="12.95" customHeight="1">
      <c r="A658" s="26" t="s">
        <v>2853</v>
      </c>
      <c r="B658" s="26"/>
      <c r="C658" s="26" t="s">
        <v>2846</v>
      </c>
      <c r="D658" s="26"/>
      <c r="E658" s="26"/>
    </row>
    <row r="659" spans="1:5" s="16" customFormat="1" ht="12.95" customHeight="1">
      <c r="A659" s="26" t="s">
        <v>2854</v>
      </c>
      <c r="B659" s="26"/>
      <c r="C659" s="26" t="s">
        <v>2848</v>
      </c>
      <c r="D659" s="26"/>
      <c r="E659" s="26"/>
    </row>
    <row r="660" spans="1:5" s="16" customFormat="1" ht="12.95" customHeight="1">
      <c r="A660" s="26" t="s">
        <v>2855</v>
      </c>
      <c r="B660" s="26"/>
      <c r="C660" s="26" t="s">
        <v>2842</v>
      </c>
      <c r="D660" s="26"/>
      <c r="E660" s="26"/>
    </row>
    <row r="661" spans="1:5" s="16" customFormat="1" ht="12.95" customHeight="1">
      <c r="A661" s="26" t="s">
        <v>2856</v>
      </c>
      <c r="B661" s="26"/>
      <c r="C661" s="26" t="s">
        <v>2857</v>
      </c>
      <c r="D661" s="26"/>
      <c r="E661" s="26"/>
    </row>
    <row r="662" spans="1:5" s="16" customFormat="1" ht="12.95" customHeight="1">
      <c r="A662" s="26" t="s">
        <v>2858</v>
      </c>
      <c r="B662" s="26"/>
      <c r="C662" s="26" t="s">
        <v>2859</v>
      </c>
      <c r="D662" s="26"/>
      <c r="E662" s="26"/>
    </row>
    <row r="663" spans="1:5" s="16" customFormat="1" ht="12.95" customHeight="1">
      <c r="A663" s="26" t="s">
        <v>2860</v>
      </c>
      <c r="B663" s="26"/>
      <c r="C663" s="26" t="s">
        <v>2861</v>
      </c>
      <c r="D663" s="26"/>
      <c r="E663" s="26"/>
    </row>
    <row r="664" spans="1:5" s="16" customFormat="1" ht="12.95" customHeight="1">
      <c r="A664" s="26" t="s">
        <v>2862</v>
      </c>
      <c r="B664" s="26"/>
      <c r="C664" s="26" t="s">
        <v>2863</v>
      </c>
      <c r="D664" s="26"/>
      <c r="E664" s="26"/>
    </row>
    <row r="665" spans="1:5" s="16" customFormat="1" ht="12.95" customHeight="1">
      <c r="A665" s="26" t="s">
        <v>2864</v>
      </c>
      <c r="B665" s="26"/>
      <c r="C665" s="26" t="s">
        <v>2863</v>
      </c>
      <c r="D665" s="26"/>
      <c r="E665" s="26"/>
    </row>
    <row r="666" spans="1:5" s="16" customFormat="1" ht="12.95" customHeight="1">
      <c r="A666" s="26" t="s">
        <v>2865</v>
      </c>
      <c r="B666" s="26"/>
      <c r="C666" s="26" t="s">
        <v>2866</v>
      </c>
      <c r="D666" s="26"/>
      <c r="E666" s="26"/>
    </row>
    <row r="667" spans="1:5" s="16" customFormat="1" ht="12.95" customHeight="1">
      <c r="A667" s="26" t="s">
        <v>2867</v>
      </c>
      <c r="B667" s="26"/>
      <c r="C667" s="26" t="s">
        <v>2868</v>
      </c>
      <c r="D667" s="26"/>
      <c r="E667" s="26"/>
    </row>
    <row r="668" spans="1:5" s="16" customFormat="1" ht="12.95" customHeight="1">
      <c r="A668" s="26" t="s">
        <v>2869</v>
      </c>
      <c r="B668" s="26"/>
      <c r="C668" s="26" t="s">
        <v>2870</v>
      </c>
      <c r="D668" s="26"/>
      <c r="E668" s="26"/>
    </row>
    <row r="669" spans="1:5" s="16" customFormat="1" ht="12.95" customHeight="1">
      <c r="A669" s="26" t="s">
        <v>2871</v>
      </c>
      <c r="B669" s="26"/>
      <c r="C669" s="26" t="s">
        <v>2872</v>
      </c>
      <c r="D669" s="26"/>
      <c r="E669" s="26"/>
    </row>
    <row r="670" spans="1:5" s="16" customFormat="1" ht="12.95" customHeight="1">
      <c r="A670" s="26" t="s">
        <v>2873</v>
      </c>
      <c r="B670" s="26"/>
      <c r="C670" s="26" t="s">
        <v>2870</v>
      </c>
      <c r="D670" s="26"/>
      <c r="E670" s="26"/>
    </row>
    <row r="671" spans="1:5" s="16" customFormat="1" ht="12.95" customHeight="1">
      <c r="A671" s="26" t="s">
        <v>2874</v>
      </c>
      <c r="B671" s="26"/>
      <c r="C671" s="26" t="s">
        <v>2872</v>
      </c>
      <c r="D671" s="26"/>
      <c r="E671" s="26"/>
    </row>
    <row r="672" spans="1:5" s="16" customFormat="1" ht="12.95" customHeight="1">
      <c r="A672" s="26" t="s">
        <v>2875</v>
      </c>
      <c r="B672" s="26"/>
      <c r="C672" s="26" t="s">
        <v>2876</v>
      </c>
      <c r="D672" s="26"/>
      <c r="E672" s="26"/>
    </row>
    <row r="673" spans="1:5" s="16" customFormat="1" ht="12.95" customHeight="1">
      <c r="A673" s="26" t="s">
        <v>2877</v>
      </c>
      <c r="B673" s="26"/>
      <c r="C673" s="26" t="s">
        <v>2878</v>
      </c>
      <c r="D673" s="26"/>
      <c r="E673" s="26"/>
    </row>
    <row r="674" spans="1:5" s="16" customFormat="1" ht="12.95" customHeight="1">
      <c r="A674" s="26" t="s">
        <v>2879</v>
      </c>
      <c r="B674" s="26"/>
      <c r="C674" s="26" t="s">
        <v>2878</v>
      </c>
      <c r="D674" s="26"/>
      <c r="E674" s="26"/>
    </row>
    <row r="675" spans="1:5" s="16" customFormat="1" ht="12.95" customHeight="1">
      <c r="A675" s="26" t="s">
        <v>2880</v>
      </c>
      <c r="B675" s="26"/>
      <c r="C675" s="26" t="s">
        <v>2881</v>
      </c>
      <c r="D675" s="26"/>
      <c r="E675" s="26"/>
    </row>
    <row r="676" spans="1:5" s="16" customFormat="1" ht="12.95" customHeight="1">
      <c r="A676" s="26" t="s">
        <v>2882</v>
      </c>
      <c r="B676" s="26"/>
      <c r="C676" s="26" t="s">
        <v>2883</v>
      </c>
      <c r="D676" s="26"/>
      <c r="E676" s="26"/>
    </row>
    <row r="677" spans="1:5" s="16" customFormat="1" ht="12.95" customHeight="1">
      <c r="A677" s="26" t="s">
        <v>2884</v>
      </c>
      <c r="B677" s="26"/>
      <c r="C677" s="26" t="s">
        <v>2885</v>
      </c>
      <c r="D677" s="26"/>
      <c r="E677" s="26"/>
    </row>
    <row r="678" spans="1:5" s="16" customFormat="1" ht="12.95" customHeight="1">
      <c r="A678" s="26" t="s">
        <v>2886</v>
      </c>
      <c r="B678" s="26"/>
      <c r="C678" s="26" t="s">
        <v>2887</v>
      </c>
      <c r="D678" s="26"/>
      <c r="E678" s="26"/>
    </row>
    <row r="679" spans="1:5" s="16" customFormat="1" ht="12.95" customHeight="1">
      <c r="A679" s="26" t="s">
        <v>2888</v>
      </c>
      <c r="B679" s="26"/>
      <c r="C679" s="26" t="s">
        <v>2889</v>
      </c>
      <c r="D679" s="26"/>
      <c r="E679" s="26"/>
    </row>
    <row r="680" spans="1:5" s="16" customFormat="1" ht="12.95" customHeight="1">
      <c r="A680" s="26" t="s">
        <v>2890</v>
      </c>
      <c r="B680" s="26"/>
      <c r="C680" s="26" t="s">
        <v>2891</v>
      </c>
      <c r="D680" s="26"/>
      <c r="E680" s="26"/>
    </row>
    <row r="681" spans="1:5" s="16" customFormat="1" ht="12.95" customHeight="1">
      <c r="A681" s="26" t="s">
        <v>2892</v>
      </c>
      <c r="B681" s="26"/>
      <c r="C681" s="26" t="s">
        <v>2893</v>
      </c>
      <c r="D681" s="26"/>
      <c r="E681" s="26"/>
    </row>
    <row r="682" spans="1:5" s="16" customFormat="1" ht="12.95" customHeight="1">
      <c r="A682" s="26" t="s">
        <v>2894</v>
      </c>
      <c r="B682" s="26"/>
      <c r="C682" s="26" t="s">
        <v>2895</v>
      </c>
      <c r="D682" s="26"/>
      <c r="E682" s="26"/>
    </row>
    <row r="683" spans="1:5" s="16" customFormat="1" ht="12.95" customHeight="1">
      <c r="A683" s="26" t="s">
        <v>2896</v>
      </c>
      <c r="B683" s="26"/>
      <c r="C683" s="26" t="s">
        <v>2897</v>
      </c>
      <c r="D683" s="26"/>
      <c r="E683" s="26"/>
    </row>
    <row r="684" spans="1:5" s="16" customFormat="1" ht="12.95" customHeight="1">
      <c r="A684" s="26" t="s">
        <v>2898</v>
      </c>
      <c r="B684" s="26"/>
      <c r="C684" s="26" t="s">
        <v>2899</v>
      </c>
      <c r="D684" s="26"/>
      <c r="E684" s="26"/>
    </row>
    <row r="685" spans="1:5" s="16" customFormat="1" ht="12.95" customHeight="1">
      <c r="A685" s="26" t="s">
        <v>2900</v>
      </c>
      <c r="B685" s="26"/>
      <c r="C685" s="26" t="s">
        <v>2901</v>
      </c>
      <c r="D685" s="26"/>
      <c r="E685" s="26"/>
    </row>
    <row r="686" spans="1:5" s="16" customFormat="1" ht="12.95" customHeight="1">
      <c r="A686" s="26" t="s">
        <v>2902</v>
      </c>
      <c r="B686" s="26"/>
      <c r="C686" s="26" t="s">
        <v>2903</v>
      </c>
      <c r="D686" s="26"/>
      <c r="E686" s="26"/>
    </row>
    <row r="687" spans="1:5" s="16" customFormat="1" ht="12.95" customHeight="1">
      <c r="A687" s="26" t="s">
        <v>2904</v>
      </c>
      <c r="B687" s="26"/>
      <c r="C687" s="26" t="s">
        <v>2905</v>
      </c>
      <c r="D687" s="26"/>
      <c r="E687" s="26"/>
    </row>
    <row r="688" spans="1:5" s="16" customFormat="1" ht="12.95" customHeight="1">
      <c r="A688" s="26" t="s">
        <v>2906</v>
      </c>
      <c r="B688" s="26"/>
      <c r="C688" s="26" t="s">
        <v>2907</v>
      </c>
      <c r="D688" s="26"/>
      <c r="E688" s="26"/>
    </row>
    <row r="689" spans="1:5" s="16" customFormat="1" ht="12.95" customHeight="1">
      <c r="A689" s="26" t="s">
        <v>2908</v>
      </c>
      <c r="B689" s="26"/>
      <c r="C689" s="26" t="s">
        <v>2909</v>
      </c>
      <c r="D689" s="26"/>
      <c r="E689" s="26"/>
    </row>
    <row r="690" spans="1:5" s="16" customFormat="1" ht="12.95" customHeight="1">
      <c r="A690" s="26" t="s">
        <v>2910</v>
      </c>
      <c r="B690" s="26"/>
      <c r="C690" s="26" t="s">
        <v>2911</v>
      </c>
      <c r="D690" s="26"/>
      <c r="E690" s="26"/>
    </row>
    <row r="691" spans="1:5" s="16" customFormat="1" ht="12.95" customHeight="1">
      <c r="A691" s="26" t="s">
        <v>2912</v>
      </c>
      <c r="B691" s="26"/>
      <c r="C691" s="26" t="s">
        <v>2913</v>
      </c>
      <c r="D691" s="26"/>
      <c r="E691" s="26"/>
    </row>
    <row r="692" spans="1:5" s="16" customFormat="1" ht="12.95" customHeight="1">
      <c r="A692" s="26" t="s">
        <v>2914</v>
      </c>
      <c r="B692" s="26"/>
      <c r="C692" s="26" t="s">
        <v>2915</v>
      </c>
      <c r="D692" s="26"/>
      <c r="E692" s="26"/>
    </row>
    <row r="693" spans="1:5" s="16" customFormat="1" ht="12.95" customHeight="1">
      <c r="A693" s="26" t="s">
        <v>2916</v>
      </c>
      <c r="B693" s="26"/>
      <c r="C693" s="26" t="s">
        <v>2917</v>
      </c>
      <c r="D693" s="26"/>
      <c r="E693" s="26"/>
    </row>
    <row r="694" spans="1:5" s="16" customFormat="1" ht="12.95" customHeight="1">
      <c r="A694" s="26" t="s">
        <v>2918</v>
      </c>
      <c r="B694" s="26"/>
      <c r="C694" s="26" t="s">
        <v>2919</v>
      </c>
      <c r="D694" s="26"/>
      <c r="E694" s="26"/>
    </row>
    <row r="695" spans="1:5" s="16" customFormat="1" ht="12.95" customHeight="1">
      <c r="A695" s="26" t="s">
        <v>2920</v>
      </c>
      <c r="B695" s="26"/>
      <c r="C695" s="26" t="s">
        <v>2921</v>
      </c>
      <c r="D695" s="26"/>
      <c r="E695" s="26"/>
    </row>
    <row r="696" spans="1:5" s="16" customFormat="1" ht="12.95" customHeight="1">
      <c r="A696" s="26" t="s">
        <v>2922</v>
      </c>
      <c r="B696" s="26"/>
      <c r="C696" s="26" t="s">
        <v>2923</v>
      </c>
      <c r="D696" s="26"/>
      <c r="E696" s="26"/>
    </row>
    <row r="697" spans="1:5" s="16" customFormat="1" ht="12.95" customHeight="1">
      <c r="A697" s="26" t="s">
        <v>2924</v>
      </c>
      <c r="B697" s="26"/>
      <c r="C697" s="26" t="s">
        <v>2925</v>
      </c>
      <c r="D697" s="26"/>
      <c r="E697" s="26"/>
    </row>
    <row r="698" spans="1:5" s="16" customFormat="1" ht="12.95" customHeight="1">
      <c r="A698" s="26" t="s">
        <v>2926</v>
      </c>
      <c r="B698" s="26"/>
      <c r="C698" s="26" t="s">
        <v>2927</v>
      </c>
      <c r="D698" s="26"/>
      <c r="E698" s="26"/>
    </row>
    <row r="699" spans="1:5" s="16" customFormat="1" ht="12.95" customHeight="1">
      <c r="A699" s="26" t="s">
        <v>2928</v>
      </c>
      <c r="B699" s="26"/>
      <c r="C699" s="26" t="s">
        <v>2929</v>
      </c>
      <c r="D699" s="26"/>
      <c r="E699" s="26"/>
    </row>
    <row r="700" spans="1:5" s="16" customFormat="1" ht="12.95" customHeight="1">
      <c r="A700" s="26" t="s">
        <v>67</v>
      </c>
      <c r="B700" s="26"/>
      <c r="C700" s="26" t="s">
        <v>2930</v>
      </c>
      <c r="D700" s="26"/>
      <c r="E700" s="26"/>
    </row>
    <row r="701" spans="1:5" s="16" customFormat="1" ht="12.95" customHeight="1">
      <c r="A701" s="26" t="s">
        <v>2931</v>
      </c>
      <c r="B701" s="26"/>
      <c r="C701" s="26" t="s">
        <v>2932</v>
      </c>
      <c r="D701" s="26"/>
      <c r="E701" s="26"/>
    </row>
    <row r="702" spans="1:5" s="16" customFormat="1" ht="12.95" customHeight="1">
      <c r="A702" s="26" t="s">
        <v>2933</v>
      </c>
      <c r="B702" s="26"/>
      <c r="C702" s="26" t="s">
        <v>2934</v>
      </c>
      <c r="D702" s="26"/>
      <c r="E702" s="26"/>
    </row>
    <row r="703" spans="1:5" s="16" customFormat="1" ht="12.95" customHeight="1">
      <c r="A703" s="26" t="s">
        <v>2935</v>
      </c>
      <c r="B703" s="26"/>
      <c r="C703" s="26" t="s">
        <v>2936</v>
      </c>
      <c r="D703" s="26"/>
      <c r="E703" s="26"/>
    </row>
    <row r="704" spans="1:5" s="16" customFormat="1" ht="12.95" customHeight="1">
      <c r="A704" s="26" t="s">
        <v>2937</v>
      </c>
      <c r="B704" s="26"/>
      <c r="C704" s="26" t="s">
        <v>2938</v>
      </c>
      <c r="D704" s="26"/>
      <c r="E704" s="26"/>
    </row>
    <row r="705" spans="1:5" s="16" customFormat="1" ht="12.95" customHeight="1">
      <c r="A705" s="26" t="s">
        <v>2939</v>
      </c>
      <c r="B705" s="26"/>
      <c r="C705" s="26" t="s">
        <v>2940</v>
      </c>
      <c r="D705" s="26"/>
      <c r="E705" s="26"/>
    </row>
    <row r="706" spans="1:5" s="16" customFormat="1" ht="12.95" customHeight="1">
      <c r="A706" s="26" t="s">
        <v>2941</v>
      </c>
      <c r="B706" s="26"/>
      <c r="C706" s="26" t="s">
        <v>2942</v>
      </c>
      <c r="D706" s="26"/>
      <c r="E706" s="26"/>
    </row>
    <row r="707" spans="1:5" s="16" customFormat="1" ht="12.95" customHeight="1">
      <c r="A707" s="26" t="s">
        <v>2943</v>
      </c>
      <c r="B707" s="26"/>
      <c r="C707" s="26" t="s">
        <v>2944</v>
      </c>
      <c r="D707" s="26"/>
      <c r="E707" s="26"/>
    </row>
    <row r="708" spans="1:5" s="16" customFormat="1" ht="12.95" customHeight="1">
      <c r="A708" s="26" t="s">
        <v>2945</v>
      </c>
      <c r="B708" s="26"/>
      <c r="C708" s="26" t="s">
        <v>2946</v>
      </c>
      <c r="D708" s="26"/>
      <c r="E708" s="26"/>
    </row>
    <row r="709" spans="1:5" s="16" customFormat="1" ht="12.95" customHeight="1">
      <c r="A709" s="26" t="s">
        <v>2947</v>
      </c>
      <c r="B709" s="26"/>
      <c r="C709" s="26" t="s">
        <v>2948</v>
      </c>
      <c r="D709" s="26"/>
      <c r="E709" s="26"/>
    </row>
    <row r="710" spans="1:5" s="16" customFormat="1" ht="12.95" customHeight="1">
      <c r="A710" s="26" t="s">
        <v>2949</v>
      </c>
      <c r="B710" s="26"/>
      <c r="C710" s="26" t="s">
        <v>2946</v>
      </c>
      <c r="D710" s="26"/>
      <c r="E710" s="26"/>
    </row>
    <row r="711" spans="1:5" s="16" customFormat="1" ht="12.95" customHeight="1">
      <c r="A711" s="26" t="s">
        <v>2950</v>
      </c>
      <c r="B711" s="26"/>
      <c r="C711" s="26" t="s">
        <v>2951</v>
      </c>
      <c r="D711" s="26"/>
      <c r="E711" s="26"/>
    </row>
  </sheetData>
  <mergeCells count="688">
    <mergeCell ref="A707:B707"/>
    <mergeCell ref="C707:E707"/>
    <mergeCell ref="A708:B708"/>
    <mergeCell ref="C708:E708"/>
    <mergeCell ref="A709:B709"/>
    <mergeCell ref="C709:E709"/>
    <mergeCell ref="A710:B710"/>
    <mergeCell ref="C710:E710"/>
    <mergeCell ref="A711:B711"/>
    <mergeCell ref="C711:E711"/>
    <mergeCell ref="A702:B702"/>
    <mergeCell ref="C702:E702"/>
    <mergeCell ref="A703:B703"/>
    <mergeCell ref="C703:E703"/>
    <mergeCell ref="A704:B704"/>
    <mergeCell ref="C704:E704"/>
    <mergeCell ref="A705:B705"/>
    <mergeCell ref="C705:E705"/>
    <mergeCell ref="A706:B706"/>
    <mergeCell ref="C706:E706"/>
    <mergeCell ref="A697:B697"/>
    <mergeCell ref="C697:E697"/>
    <mergeCell ref="A698:B698"/>
    <mergeCell ref="C698:E698"/>
    <mergeCell ref="A699:B699"/>
    <mergeCell ref="C699:E699"/>
    <mergeCell ref="A700:B700"/>
    <mergeCell ref="C700:E700"/>
    <mergeCell ref="A701:B701"/>
    <mergeCell ref="C701:E701"/>
    <mergeCell ref="A692:B692"/>
    <mergeCell ref="C692:E692"/>
    <mergeCell ref="A693:B693"/>
    <mergeCell ref="C693:E693"/>
    <mergeCell ref="A694:B694"/>
    <mergeCell ref="C694:E694"/>
    <mergeCell ref="A695:B695"/>
    <mergeCell ref="C695:E695"/>
    <mergeCell ref="A696:B696"/>
    <mergeCell ref="C696:E696"/>
    <mergeCell ref="A687:B687"/>
    <mergeCell ref="C687:E687"/>
    <mergeCell ref="A688:B688"/>
    <mergeCell ref="C688:E688"/>
    <mergeCell ref="A689:B689"/>
    <mergeCell ref="C689:E689"/>
    <mergeCell ref="A690:B690"/>
    <mergeCell ref="C690:E690"/>
    <mergeCell ref="A691:B691"/>
    <mergeCell ref="C691:E691"/>
    <mergeCell ref="A682:B682"/>
    <mergeCell ref="C682:E682"/>
    <mergeCell ref="A683:B683"/>
    <mergeCell ref="C683:E683"/>
    <mergeCell ref="A684:B684"/>
    <mergeCell ref="C684:E684"/>
    <mergeCell ref="A685:B685"/>
    <mergeCell ref="C685:E685"/>
    <mergeCell ref="A686:B686"/>
    <mergeCell ref="C686:E686"/>
    <mergeCell ref="A677:B677"/>
    <mergeCell ref="C677:E677"/>
    <mergeCell ref="A678:B678"/>
    <mergeCell ref="C678:E678"/>
    <mergeCell ref="A679:B679"/>
    <mergeCell ref="C679:E679"/>
    <mergeCell ref="A680:B680"/>
    <mergeCell ref="C680:E680"/>
    <mergeCell ref="A681:B681"/>
    <mergeCell ref="C681:E681"/>
    <mergeCell ref="A672:B672"/>
    <mergeCell ref="C672:E672"/>
    <mergeCell ref="A673:B673"/>
    <mergeCell ref="C673:E673"/>
    <mergeCell ref="A674:B674"/>
    <mergeCell ref="C674:E674"/>
    <mergeCell ref="A675:B675"/>
    <mergeCell ref="C675:E675"/>
    <mergeCell ref="A676:B676"/>
    <mergeCell ref="C676:E676"/>
    <mergeCell ref="A667:B667"/>
    <mergeCell ref="C667:E667"/>
    <mergeCell ref="A668:B668"/>
    <mergeCell ref="C668:E668"/>
    <mergeCell ref="A669:B669"/>
    <mergeCell ref="C669:E669"/>
    <mergeCell ref="A670:B670"/>
    <mergeCell ref="C670:E670"/>
    <mergeCell ref="A671:B671"/>
    <mergeCell ref="C671:E671"/>
    <mergeCell ref="A662:B662"/>
    <mergeCell ref="C662:E662"/>
    <mergeCell ref="A663:B663"/>
    <mergeCell ref="C663:E663"/>
    <mergeCell ref="A664:B664"/>
    <mergeCell ref="C664:E664"/>
    <mergeCell ref="A665:B665"/>
    <mergeCell ref="C665:E665"/>
    <mergeCell ref="A666:B666"/>
    <mergeCell ref="C666:E666"/>
    <mergeCell ref="A657:B657"/>
    <mergeCell ref="C657:E657"/>
    <mergeCell ref="A658:B658"/>
    <mergeCell ref="C658:E658"/>
    <mergeCell ref="A659:B659"/>
    <mergeCell ref="C659:E659"/>
    <mergeCell ref="A660:B660"/>
    <mergeCell ref="C660:E660"/>
    <mergeCell ref="A661:B661"/>
    <mergeCell ref="C661:E661"/>
    <mergeCell ref="A652:B652"/>
    <mergeCell ref="C652:E652"/>
    <mergeCell ref="A653:B653"/>
    <mergeCell ref="C653:E653"/>
    <mergeCell ref="A654:B654"/>
    <mergeCell ref="C654:E654"/>
    <mergeCell ref="A655:B655"/>
    <mergeCell ref="C655:E655"/>
    <mergeCell ref="A656:B656"/>
    <mergeCell ref="C656:E656"/>
    <mergeCell ref="A647:B647"/>
    <mergeCell ref="C647:E647"/>
    <mergeCell ref="A648:B648"/>
    <mergeCell ref="C648:E648"/>
    <mergeCell ref="A649:B649"/>
    <mergeCell ref="C649:E649"/>
    <mergeCell ref="A650:B650"/>
    <mergeCell ref="C650:E650"/>
    <mergeCell ref="A651:B651"/>
    <mergeCell ref="C651:E651"/>
    <mergeCell ref="A642:B642"/>
    <mergeCell ref="C642:E642"/>
    <mergeCell ref="A643:B643"/>
    <mergeCell ref="C643:E643"/>
    <mergeCell ref="A644:B644"/>
    <mergeCell ref="C644:E644"/>
    <mergeCell ref="A645:B645"/>
    <mergeCell ref="C645:E645"/>
    <mergeCell ref="A646:B646"/>
    <mergeCell ref="C646:E646"/>
    <mergeCell ref="A637:B637"/>
    <mergeCell ref="C637:E637"/>
    <mergeCell ref="A638:B638"/>
    <mergeCell ref="C638:E638"/>
    <mergeCell ref="A639:B639"/>
    <mergeCell ref="C639:E639"/>
    <mergeCell ref="A640:B640"/>
    <mergeCell ref="C640:E640"/>
    <mergeCell ref="A641:B641"/>
    <mergeCell ref="C641:E641"/>
    <mergeCell ref="A632:B632"/>
    <mergeCell ref="C632:E632"/>
    <mergeCell ref="A633:B633"/>
    <mergeCell ref="C633:E633"/>
    <mergeCell ref="A634:B634"/>
    <mergeCell ref="C634:E634"/>
    <mergeCell ref="A635:B635"/>
    <mergeCell ref="C635:E635"/>
    <mergeCell ref="A636:B636"/>
    <mergeCell ref="C636:E636"/>
    <mergeCell ref="A627:B627"/>
    <mergeCell ref="C627:E627"/>
    <mergeCell ref="A628:B628"/>
    <mergeCell ref="C628:E628"/>
    <mergeCell ref="A629:B629"/>
    <mergeCell ref="C629:E629"/>
    <mergeCell ref="A630:B630"/>
    <mergeCell ref="C630:E630"/>
    <mergeCell ref="A631:B631"/>
    <mergeCell ref="C631:E631"/>
    <mergeCell ref="A622:B622"/>
    <mergeCell ref="C622:E622"/>
    <mergeCell ref="A623:B623"/>
    <mergeCell ref="C623:E623"/>
    <mergeCell ref="A624:B624"/>
    <mergeCell ref="C624:E624"/>
    <mergeCell ref="A625:B625"/>
    <mergeCell ref="C625:E625"/>
    <mergeCell ref="A626:B626"/>
    <mergeCell ref="C626:E626"/>
    <mergeCell ref="A617:B617"/>
    <mergeCell ref="C617:E617"/>
    <mergeCell ref="A618:B618"/>
    <mergeCell ref="C618:E618"/>
    <mergeCell ref="A619:B619"/>
    <mergeCell ref="C619:E619"/>
    <mergeCell ref="A620:B620"/>
    <mergeCell ref="C620:E620"/>
    <mergeCell ref="A621:B621"/>
    <mergeCell ref="C621:E621"/>
    <mergeCell ref="A612:B612"/>
    <mergeCell ref="C612:E612"/>
    <mergeCell ref="A613:B613"/>
    <mergeCell ref="C613:E613"/>
    <mergeCell ref="A614:B614"/>
    <mergeCell ref="C614:E614"/>
    <mergeCell ref="A615:B615"/>
    <mergeCell ref="C615:E615"/>
    <mergeCell ref="A616:B616"/>
    <mergeCell ref="C616:E616"/>
    <mergeCell ref="A607:B607"/>
    <mergeCell ref="C607:E607"/>
    <mergeCell ref="A608:B608"/>
    <mergeCell ref="C608:E608"/>
    <mergeCell ref="A609:B609"/>
    <mergeCell ref="C609:E609"/>
    <mergeCell ref="A610:B610"/>
    <mergeCell ref="C610:E610"/>
    <mergeCell ref="A611:B611"/>
    <mergeCell ref="C611:E611"/>
    <mergeCell ref="A602:B602"/>
    <mergeCell ref="C602:E602"/>
    <mergeCell ref="A603:B603"/>
    <mergeCell ref="C603:E603"/>
    <mergeCell ref="A604:B604"/>
    <mergeCell ref="C604:E604"/>
    <mergeCell ref="A605:B605"/>
    <mergeCell ref="C605:E605"/>
    <mergeCell ref="A606:B606"/>
    <mergeCell ref="C606:E606"/>
    <mergeCell ref="A597:B597"/>
    <mergeCell ref="C597:E597"/>
    <mergeCell ref="A598:B598"/>
    <mergeCell ref="C598:E598"/>
    <mergeCell ref="A599:B599"/>
    <mergeCell ref="C599:E599"/>
    <mergeCell ref="A600:B600"/>
    <mergeCell ref="C600:E600"/>
    <mergeCell ref="A601:B601"/>
    <mergeCell ref="C601:E601"/>
    <mergeCell ref="A592:B592"/>
    <mergeCell ref="C592:E592"/>
    <mergeCell ref="A593:B593"/>
    <mergeCell ref="C593:E593"/>
    <mergeCell ref="A594:B594"/>
    <mergeCell ref="C594:E594"/>
    <mergeCell ref="A595:B595"/>
    <mergeCell ref="C595:E595"/>
    <mergeCell ref="A596:B596"/>
    <mergeCell ref="C596:E596"/>
    <mergeCell ref="A587:B587"/>
    <mergeCell ref="C587:E587"/>
    <mergeCell ref="A588:B588"/>
    <mergeCell ref="C588:E588"/>
    <mergeCell ref="A589:B589"/>
    <mergeCell ref="C589:E589"/>
    <mergeCell ref="A590:B590"/>
    <mergeCell ref="C590:E590"/>
    <mergeCell ref="A591:B591"/>
    <mergeCell ref="C591:E591"/>
    <mergeCell ref="A582:B582"/>
    <mergeCell ref="C582:E582"/>
    <mergeCell ref="A583:B583"/>
    <mergeCell ref="C583:E583"/>
    <mergeCell ref="A584:B584"/>
    <mergeCell ref="C584:E584"/>
    <mergeCell ref="A585:B585"/>
    <mergeCell ref="C585:E585"/>
    <mergeCell ref="A586:B586"/>
    <mergeCell ref="C586:E586"/>
    <mergeCell ref="A577:B577"/>
    <mergeCell ref="C577:E577"/>
    <mergeCell ref="A578:B578"/>
    <mergeCell ref="C578:E578"/>
    <mergeCell ref="A579:B579"/>
    <mergeCell ref="C579:E579"/>
    <mergeCell ref="A580:B580"/>
    <mergeCell ref="C580:E580"/>
    <mergeCell ref="A581:B581"/>
    <mergeCell ref="C581:E581"/>
    <mergeCell ref="A572:B572"/>
    <mergeCell ref="C572:E572"/>
    <mergeCell ref="A573:B573"/>
    <mergeCell ref="C573:E573"/>
    <mergeCell ref="A574:B574"/>
    <mergeCell ref="C574:E574"/>
    <mergeCell ref="A575:B575"/>
    <mergeCell ref="C575:E575"/>
    <mergeCell ref="A576:B576"/>
    <mergeCell ref="C576:E576"/>
    <mergeCell ref="A567:B567"/>
    <mergeCell ref="C567:E567"/>
    <mergeCell ref="A568:B568"/>
    <mergeCell ref="C568:E568"/>
    <mergeCell ref="A569:B569"/>
    <mergeCell ref="C569:E569"/>
    <mergeCell ref="A570:B570"/>
    <mergeCell ref="C570:E570"/>
    <mergeCell ref="A571:B571"/>
    <mergeCell ref="C571:E571"/>
    <mergeCell ref="A562:B562"/>
    <mergeCell ref="C562:E562"/>
    <mergeCell ref="A563:B563"/>
    <mergeCell ref="C563:E563"/>
    <mergeCell ref="A564:B564"/>
    <mergeCell ref="C564:E564"/>
    <mergeCell ref="A565:B565"/>
    <mergeCell ref="C565:E565"/>
    <mergeCell ref="A566:B566"/>
    <mergeCell ref="C566:E566"/>
    <mergeCell ref="A557:B557"/>
    <mergeCell ref="C557:E557"/>
    <mergeCell ref="A558:B558"/>
    <mergeCell ref="C558:E558"/>
    <mergeCell ref="A559:B559"/>
    <mergeCell ref="C559:E559"/>
    <mergeCell ref="A560:B560"/>
    <mergeCell ref="C560:E560"/>
    <mergeCell ref="A561:B561"/>
    <mergeCell ref="C561:E561"/>
    <mergeCell ref="A552:B552"/>
    <mergeCell ref="C552:E552"/>
    <mergeCell ref="A553:B553"/>
    <mergeCell ref="C553:E553"/>
    <mergeCell ref="A554:B554"/>
    <mergeCell ref="C554:E554"/>
    <mergeCell ref="A555:B555"/>
    <mergeCell ref="C555:E555"/>
    <mergeCell ref="A556:B556"/>
    <mergeCell ref="C556:E556"/>
    <mergeCell ref="A547:B547"/>
    <mergeCell ref="C547:E547"/>
    <mergeCell ref="A548:B548"/>
    <mergeCell ref="C548:E548"/>
    <mergeCell ref="A549:B549"/>
    <mergeCell ref="C549:E549"/>
    <mergeCell ref="A550:B550"/>
    <mergeCell ref="C550:E550"/>
    <mergeCell ref="A551:B551"/>
    <mergeCell ref="C551:E551"/>
    <mergeCell ref="A542:B542"/>
    <mergeCell ref="C542:E542"/>
    <mergeCell ref="A543:B543"/>
    <mergeCell ref="C543:E543"/>
    <mergeCell ref="A544:B544"/>
    <mergeCell ref="C544:E544"/>
    <mergeCell ref="A545:B545"/>
    <mergeCell ref="C545:E545"/>
    <mergeCell ref="A546:B546"/>
    <mergeCell ref="C546:E546"/>
    <mergeCell ref="A537:B537"/>
    <mergeCell ref="C537:E537"/>
    <mergeCell ref="A538:B538"/>
    <mergeCell ref="C538:E538"/>
    <mergeCell ref="A539:B539"/>
    <mergeCell ref="C539:E539"/>
    <mergeCell ref="A540:B540"/>
    <mergeCell ref="C540:E540"/>
    <mergeCell ref="A541:B541"/>
    <mergeCell ref="C541:E541"/>
    <mergeCell ref="A532:B532"/>
    <mergeCell ref="C532:E532"/>
    <mergeCell ref="A533:B533"/>
    <mergeCell ref="C533:E533"/>
    <mergeCell ref="A534:B534"/>
    <mergeCell ref="C534:E534"/>
    <mergeCell ref="A535:B535"/>
    <mergeCell ref="C535:E535"/>
    <mergeCell ref="A536:B536"/>
    <mergeCell ref="C536:E536"/>
    <mergeCell ref="A527:B527"/>
    <mergeCell ref="C527:E527"/>
    <mergeCell ref="A528:B528"/>
    <mergeCell ref="C528:E528"/>
    <mergeCell ref="A529:B529"/>
    <mergeCell ref="C529:E529"/>
    <mergeCell ref="A530:B530"/>
    <mergeCell ref="C530:E530"/>
    <mergeCell ref="A531:B531"/>
    <mergeCell ref="C531:E531"/>
    <mergeCell ref="A522:B522"/>
    <mergeCell ref="C522:E522"/>
    <mergeCell ref="A523:B523"/>
    <mergeCell ref="C523:E523"/>
    <mergeCell ref="A524:B524"/>
    <mergeCell ref="C524:E524"/>
    <mergeCell ref="A525:B525"/>
    <mergeCell ref="C525:E525"/>
    <mergeCell ref="A526:B526"/>
    <mergeCell ref="C526:E526"/>
    <mergeCell ref="A517:B517"/>
    <mergeCell ref="C517:E517"/>
    <mergeCell ref="A518:B518"/>
    <mergeCell ref="C518:E518"/>
    <mergeCell ref="A519:B519"/>
    <mergeCell ref="C519:E519"/>
    <mergeCell ref="A520:B520"/>
    <mergeCell ref="C520:E520"/>
    <mergeCell ref="A521:B521"/>
    <mergeCell ref="C521:E521"/>
    <mergeCell ref="A512:B512"/>
    <mergeCell ref="C512:E512"/>
    <mergeCell ref="A513:B513"/>
    <mergeCell ref="C513:E513"/>
    <mergeCell ref="A514:B514"/>
    <mergeCell ref="C514:E514"/>
    <mergeCell ref="A515:B515"/>
    <mergeCell ref="C515:E515"/>
    <mergeCell ref="A516:B516"/>
    <mergeCell ref="C516:E516"/>
    <mergeCell ref="A507:B507"/>
    <mergeCell ref="C507:E507"/>
    <mergeCell ref="A508:B508"/>
    <mergeCell ref="C508:E508"/>
    <mergeCell ref="A509:B509"/>
    <mergeCell ref="C509:E509"/>
    <mergeCell ref="A510:B510"/>
    <mergeCell ref="C510:E510"/>
    <mergeCell ref="A511:B511"/>
    <mergeCell ref="C511:E511"/>
    <mergeCell ref="A502:B502"/>
    <mergeCell ref="C502:E502"/>
    <mergeCell ref="A503:B503"/>
    <mergeCell ref="C503:E503"/>
    <mergeCell ref="A504:B504"/>
    <mergeCell ref="C504:E504"/>
    <mergeCell ref="A505:B505"/>
    <mergeCell ref="C505:E505"/>
    <mergeCell ref="A506:B506"/>
    <mergeCell ref="C506:E506"/>
    <mergeCell ref="A497:B497"/>
    <mergeCell ref="C497:E497"/>
    <mergeCell ref="A498:B498"/>
    <mergeCell ref="C498:E498"/>
    <mergeCell ref="A499:B499"/>
    <mergeCell ref="C499:E499"/>
    <mergeCell ref="A500:B500"/>
    <mergeCell ref="C500:E500"/>
    <mergeCell ref="A501:B501"/>
    <mergeCell ref="C501:E501"/>
    <mergeCell ref="A492:B492"/>
    <mergeCell ref="C492:E492"/>
    <mergeCell ref="A493:B493"/>
    <mergeCell ref="C493:E493"/>
    <mergeCell ref="A494:B494"/>
    <mergeCell ref="C494:E494"/>
    <mergeCell ref="A495:B495"/>
    <mergeCell ref="C495:E495"/>
    <mergeCell ref="A496:B496"/>
    <mergeCell ref="C496:E496"/>
    <mergeCell ref="A487:B487"/>
    <mergeCell ref="C487:E487"/>
    <mergeCell ref="A488:B488"/>
    <mergeCell ref="C488:E488"/>
    <mergeCell ref="A489:B489"/>
    <mergeCell ref="C489:E489"/>
    <mergeCell ref="A490:B490"/>
    <mergeCell ref="C490:E490"/>
    <mergeCell ref="A491:B491"/>
    <mergeCell ref="C491:E491"/>
    <mergeCell ref="A482:B482"/>
    <mergeCell ref="C482:E482"/>
    <mergeCell ref="A483:B483"/>
    <mergeCell ref="C483:E483"/>
    <mergeCell ref="A484:B484"/>
    <mergeCell ref="C484:E484"/>
    <mergeCell ref="A485:B485"/>
    <mergeCell ref="C485:E485"/>
    <mergeCell ref="A486:B486"/>
    <mergeCell ref="C486:E486"/>
    <mergeCell ref="A477:B477"/>
    <mergeCell ref="C477:E477"/>
    <mergeCell ref="A478:B478"/>
    <mergeCell ref="C478:E478"/>
    <mergeCell ref="A479:B479"/>
    <mergeCell ref="C479:E479"/>
    <mergeCell ref="A480:B480"/>
    <mergeCell ref="C480:E480"/>
    <mergeCell ref="A481:B481"/>
    <mergeCell ref="C481:E481"/>
    <mergeCell ref="A472:B472"/>
    <mergeCell ref="C472:E472"/>
    <mergeCell ref="A473:B473"/>
    <mergeCell ref="C473:E473"/>
    <mergeCell ref="A474:B474"/>
    <mergeCell ref="C474:E474"/>
    <mergeCell ref="A475:B475"/>
    <mergeCell ref="C475:E475"/>
    <mergeCell ref="A476:B476"/>
    <mergeCell ref="C476:E476"/>
    <mergeCell ref="A467:B467"/>
    <mergeCell ref="C467:E467"/>
    <mergeCell ref="A468:B468"/>
    <mergeCell ref="C468:E468"/>
    <mergeCell ref="A469:B469"/>
    <mergeCell ref="C469:E469"/>
    <mergeCell ref="A470:B470"/>
    <mergeCell ref="C470:E470"/>
    <mergeCell ref="A471:B471"/>
    <mergeCell ref="C471:E471"/>
    <mergeCell ref="A462:B462"/>
    <mergeCell ref="C462:E462"/>
    <mergeCell ref="A463:B463"/>
    <mergeCell ref="C463:E463"/>
    <mergeCell ref="A464:B464"/>
    <mergeCell ref="C464:E464"/>
    <mergeCell ref="A465:B465"/>
    <mergeCell ref="C465:E465"/>
    <mergeCell ref="A466:B466"/>
    <mergeCell ref="C466:E466"/>
    <mergeCell ref="A457:B457"/>
    <mergeCell ref="C457:E457"/>
    <mergeCell ref="A458:B458"/>
    <mergeCell ref="C458:E458"/>
    <mergeCell ref="A459:B459"/>
    <mergeCell ref="C459:E459"/>
    <mergeCell ref="A460:B460"/>
    <mergeCell ref="C460:E460"/>
    <mergeCell ref="A461:B461"/>
    <mergeCell ref="C461:E461"/>
    <mergeCell ref="A452:B452"/>
    <mergeCell ref="C452:E452"/>
    <mergeCell ref="A453:B453"/>
    <mergeCell ref="C453:E453"/>
    <mergeCell ref="A454:B454"/>
    <mergeCell ref="C454:E454"/>
    <mergeCell ref="A455:B455"/>
    <mergeCell ref="C455:E455"/>
    <mergeCell ref="A456:B456"/>
    <mergeCell ref="C456:E456"/>
    <mergeCell ref="A447:B447"/>
    <mergeCell ref="C447:E447"/>
    <mergeCell ref="A448:B448"/>
    <mergeCell ref="C448:E448"/>
    <mergeCell ref="A449:B449"/>
    <mergeCell ref="C449:E449"/>
    <mergeCell ref="A450:B450"/>
    <mergeCell ref="C450:E450"/>
    <mergeCell ref="A451:B451"/>
    <mergeCell ref="C451:E451"/>
    <mergeCell ref="A442:B442"/>
    <mergeCell ref="C442:E442"/>
    <mergeCell ref="A443:B443"/>
    <mergeCell ref="C443:E443"/>
    <mergeCell ref="A444:B444"/>
    <mergeCell ref="C444:E444"/>
    <mergeCell ref="A445:B445"/>
    <mergeCell ref="C445:E445"/>
    <mergeCell ref="A446:B446"/>
    <mergeCell ref="C446:E446"/>
    <mergeCell ref="A437:B437"/>
    <mergeCell ref="C437:E437"/>
    <mergeCell ref="A438:B438"/>
    <mergeCell ref="C438:E438"/>
    <mergeCell ref="A439:B439"/>
    <mergeCell ref="C439:E439"/>
    <mergeCell ref="A440:B440"/>
    <mergeCell ref="C440:E440"/>
    <mergeCell ref="A441:B441"/>
    <mergeCell ref="C441:E441"/>
    <mergeCell ref="A432:B432"/>
    <mergeCell ref="C432:E432"/>
    <mergeCell ref="A433:B433"/>
    <mergeCell ref="C433:E433"/>
    <mergeCell ref="A434:B434"/>
    <mergeCell ref="C434:E434"/>
    <mergeCell ref="A435:B435"/>
    <mergeCell ref="C435:E435"/>
    <mergeCell ref="A436:B436"/>
    <mergeCell ref="C436:E436"/>
    <mergeCell ref="A427:B427"/>
    <mergeCell ref="C427:E427"/>
    <mergeCell ref="A428:B428"/>
    <mergeCell ref="C428:E428"/>
    <mergeCell ref="A429:B429"/>
    <mergeCell ref="C429:E429"/>
    <mergeCell ref="A430:B430"/>
    <mergeCell ref="C430:E430"/>
    <mergeCell ref="A431:B431"/>
    <mergeCell ref="C431:E431"/>
    <mergeCell ref="A422:B422"/>
    <mergeCell ref="C422:E422"/>
    <mergeCell ref="A423:B423"/>
    <mergeCell ref="C423:E423"/>
    <mergeCell ref="A424:B424"/>
    <mergeCell ref="C424:E424"/>
    <mergeCell ref="A425:B425"/>
    <mergeCell ref="C425:E425"/>
    <mergeCell ref="A426:B426"/>
    <mergeCell ref="C426:E426"/>
    <mergeCell ref="A417:B417"/>
    <mergeCell ref="C417:E417"/>
    <mergeCell ref="A418:B418"/>
    <mergeCell ref="C418:E418"/>
    <mergeCell ref="A419:B419"/>
    <mergeCell ref="C419:E419"/>
    <mergeCell ref="A420:B420"/>
    <mergeCell ref="C420:E420"/>
    <mergeCell ref="A421:B421"/>
    <mergeCell ref="C421:E421"/>
    <mergeCell ref="A412:B412"/>
    <mergeCell ref="C412:E412"/>
    <mergeCell ref="A413:B413"/>
    <mergeCell ref="C413:E413"/>
    <mergeCell ref="A414:B414"/>
    <mergeCell ref="C414:E414"/>
    <mergeCell ref="A415:B415"/>
    <mergeCell ref="C415:E415"/>
    <mergeCell ref="A416:B416"/>
    <mergeCell ref="C416:E416"/>
    <mergeCell ref="A407:B407"/>
    <mergeCell ref="C407:E407"/>
    <mergeCell ref="A408:B408"/>
    <mergeCell ref="C408:E408"/>
    <mergeCell ref="A409:B409"/>
    <mergeCell ref="C409:E409"/>
    <mergeCell ref="A410:B410"/>
    <mergeCell ref="C410:E410"/>
    <mergeCell ref="A411:B411"/>
    <mergeCell ref="C411:E411"/>
    <mergeCell ref="A402:B402"/>
    <mergeCell ref="C402:E402"/>
    <mergeCell ref="A403:B403"/>
    <mergeCell ref="C403:E403"/>
    <mergeCell ref="A404:B404"/>
    <mergeCell ref="C404:E404"/>
    <mergeCell ref="A405:B405"/>
    <mergeCell ref="C405:E405"/>
    <mergeCell ref="A406:B406"/>
    <mergeCell ref="C406:E406"/>
    <mergeCell ref="A397:B397"/>
    <mergeCell ref="C397:E397"/>
    <mergeCell ref="A398:B398"/>
    <mergeCell ref="C398:E398"/>
    <mergeCell ref="A399:B399"/>
    <mergeCell ref="C399:E399"/>
    <mergeCell ref="A400:B400"/>
    <mergeCell ref="C400:E400"/>
    <mergeCell ref="A401:B401"/>
    <mergeCell ref="C401:E401"/>
    <mergeCell ref="A392:B392"/>
    <mergeCell ref="C392:E392"/>
    <mergeCell ref="A393:B393"/>
    <mergeCell ref="C393:E393"/>
    <mergeCell ref="A394:B394"/>
    <mergeCell ref="C394:E394"/>
    <mergeCell ref="A395:B395"/>
    <mergeCell ref="C395:E395"/>
    <mergeCell ref="A396:B396"/>
    <mergeCell ref="C396:E396"/>
    <mergeCell ref="A387:B387"/>
    <mergeCell ref="C387:E387"/>
    <mergeCell ref="A388:B388"/>
    <mergeCell ref="C388:E388"/>
    <mergeCell ref="A389:B389"/>
    <mergeCell ref="C389:E389"/>
    <mergeCell ref="A390:B390"/>
    <mergeCell ref="C390:E390"/>
    <mergeCell ref="A391:B391"/>
    <mergeCell ref="C391:E391"/>
    <mergeCell ref="A382:B382"/>
    <mergeCell ref="C382:E382"/>
    <mergeCell ref="A383:B383"/>
    <mergeCell ref="C383:E383"/>
    <mergeCell ref="A384:B384"/>
    <mergeCell ref="C384:E384"/>
    <mergeCell ref="A385:B385"/>
    <mergeCell ref="C385:E385"/>
    <mergeCell ref="A386:B386"/>
    <mergeCell ref="C386:E386"/>
    <mergeCell ref="A377:B377"/>
    <mergeCell ref="C377:E377"/>
    <mergeCell ref="A378:B378"/>
    <mergeCell ref="C378:E378"/>
    <mergeCell ref="A379:B379"/>
    <mergeCell ref="C379:E379"/>
    <mergeCell ref="A380:B380"/>
    <mergeCell ref="C380:E380"/>
    <mergeCell ref="A381:B381"/>
    <mergeCell ref="C381:E381"/>
    <mergeCell ref="C372:E372"/>
    <mergeCell ref="A373:B373"/>
    <mergeCell ref="C373:E373"/>
    <mergeCell ref="A374:B374"/>
    <mergeCell ref="C374:E374"/>
    <mergeCell ref="A375:B375"/>
    <mergeCell ref="C375:E375"/>
    <mergeCell ref="A376:B376"/>
    <mergeCell ref="C376:E376"/>
    <mergeCell ref="A1:E1"/>
    <mergeCell ref="F1:I5"/>
    <mergeCell ref="J1:O1"/>
    <mergeCell ref="A2:E2"/>
    <mergeCell ref="J2:O5"/>
    <mergeCell ref="A3:E3"/>
    <mergeCell ref="A4:E4"/>
    <mergeCell ref="A5:E5"/>
    <mergeCell ref="A369:B369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2023-10-30T21:59:19Z</dcterms:modified>
</cp:coreProperties>
</file>