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V229" i="1"/>
  <c r="U229"/>
  <c r="V228"/>
  <c r="U228"/>
  <c r="V227"/>
  <c r="U227"/>
  <c r="V226"/>
  <c r="U226"/>
  <c r="V225"/>
  <c r="U225"/>
  <c r="V224"/>
  <c r="U224"/>
  <c r="V223"/>
  <c r="U223"/>
  <c r="V222"/>
  <c r="U222"/>
  <c r="V221"/>
  <c r="U221"/>
  <c r="V220"/>
  <c r="U220"/>
  <c r="V219"/>
  <c r="U219"/>
  <c r="U218"/>
  <c r="V217"/>
  <c r="U217"/>
  <c r="V216"/>
  <c r="U216"/>
  <c r="V215"/>
  <c r="U215"/>
  <c r="V214"/>
  <c r="U214"/>
  <c r="V213"/>
  <c r="U213"/>
  <c r="V212"/>
  <c r="U212"/>
  <c r="V211"/>
  <c r="U211"/>
  <c r="V210"/>
  <c r="U210"/>
  <c r="V209"/>
  <c r="U209"/>
  <c r="V208"/>
  <c r="U208"/>
  <c r="V207"/>
  <c r="U207"/>
  <c r="V206"/>
  <c r="U206"/>
  <c r="V205"/>
  <c r="U205"/>
  <c r="V204"/>
  <c r="U204"/>
  <c r="V203"/>
  <c r="U203"/>
  <c r="V202"/>
  <c r="U202"/>
  <c r="V201"/>
  <c r="U201"/>
  <c r="V200"/>
  <c r="U200"/>
  <c r="V199"/>
  <c r="U199"/>
  <c r="V198"/>
  <c r="U198"/>
  <c r="V197"/>
  <c r="U197"/>
  <c r="V196"/>
  <c r="U196"/>
  <c r="V195"/>
  <c r="U195"/>
  <c r="V194"/>
  <c r="U194"/>
  <c r="V193"/>
  <c r="U193"/>
  <c r="V192"/>
  <c r="U192"/>
  <c r="V191"/>
  <c r="U191"/>
  <c r="V190"/>
  <c r="U190"/>
  <c r="V189"/>
  <c r="U189"/>
  <c r="V188"/>
  <c r="U188"/>
  <c r="V187"/>
  <c r="U187"/>
  <c r="V186"/>
  <c r="U186"/>
  <c r="V185"/>
  <c r="U185"/>
  <c r="V184"/>
  <c r="U184"/>
  <c r="V183"/>
  <c r="U183"/>
  <c r="V182"/>
  <c r="U182"/>
  <c r="V181"/>
  <c r="U181"/>
  <c r="V180"/>
  <c r="U180"/>
  <c r="V179"/>
  <c r="U179"/>
  <c r="V178"/>
  <c r="U178"/>
  <c r="V177"/>
  <c r="U177"/>
  <c r="V176"/>
  <c r="U176"/>
  <c r="V175"/>
  <c r="U175"/>
  <c r="V174"/>
  <c r="U174"/>
  <c r="V173"/>
  <c r="U173"/>
  <c r="V172"/>
  <c r="U172"/>
  <c r="V171"/>
  <c r="U171"/>
  <c r="V170"/>
  <c r="U170"/>
  <c r="V169"/>
  <c r="U169"/>
  <c r="V168"/>
  <c r="U168"/>
  <c r="V167"/>
  <c r="U167"/>
  <c r="V166"/>
  <c r="U166"/>
  <c r="V165"/>
  <c r="U165"/>
  <c r="V164"/>
  <c r="U164"/>
  <c r="V163"/>
  <c r="U163"/>
  <c r="V162"/>
  <c r="U162"/>
  <c r="V161"/>
  <c r="U161"/>
  <c r="U160"/>
  <c r="V159"/>
  <c r="U159"/>
  <c r="V158"/>
  <c r="U158"/>
  <c r="V157"/>
  <c r="U157"/>
  <c r="V156"/>
  <c r="U156"/>
  <c r="V155"/>
  <c r="U155"/>
  <c r="V154"/>
  <c r="U154"/>
  <c r="V153"/>
  <c r="U153"/>
  <c r="V152"/>
  <c r="U152"/>
  <c r="V151"/>
  <c r="U151"/>
  <c r="V150"/>
  <c r="U150"/>
  <c r="V149"/>
  <c r="U149"/>
  <c r="V148"/>
  <c r="U148"/>
  <c r="V147"/>
  <c r="U147"/>
  <c r="V146"/>
  <c r="U146"/>
  <c r="V145"/>
  <c r="U145"/>
  <c r="V144"/>
  <c r="U144"/>
  <c r="V143"/>
  <c r="U143"/>
  <c r="V142"/>
  <c r="U142"/>
  <c r="V141"/>
  <c r="U141"/>
  <c r="V140"/>
  <c r="U140"/>
  <c r="V139"/>
  <c r="U139"/>
  <c r="V138"/>
  <c r="U138"/>
  <c r="V137"/>
  <c r="U137"/>
  <c r="V136"/>
  <c r="U136"/>
  <c r="V135"/>
  <c r="U135"/>
  <c r="V134"/>
  <c r="U134"/>
  <c r="V133"/>
  <c r="U133"/>
  <c r="V132"/>
  <c r="U132"/>
  <c r="V131"/>
  <c r="U131"/>
  <c r="V130"/>
  <c r="U130"/>
  <c r="V129"/>
  <c r="U129"/>
  <c r="V128"/>
  <c r="U128"/>
  <c r="V127"/>
  <c r="U127"/>
  <c r="V126"/>
  <c r="U126"/>
  <c r="V125"/>
  <c r="U125"/>
  <c r="U124"/>
  <c r="U123"/>
  <c r="V122"/>
  <c r="U122"/>
  <c r="V121"/>
  <c r="U121"/>
  <c r="V120"/>
  <c r="U120"/>
  <c r="V119"/>
  <c r="U119"/>
  <c r="V118"/>
  <c r="U118"/>
  <c r="V117"/>
  <c r="U117"/>
  <c r="V116"/>
  <c r="U116"/>
  <c r="V115"/>
  <c r="U115"/>
  <c r="V114"/>
  <c r="U114"/>
  <c r="V113"/>
  <c r="U113"/>
  <c r="V112"/>
  <c r="U112"/>
  <c r="V111"/>
  <c r="U111"/>
  <c r="V110"/>
  <c r="U110"/>
  <c r="V109"/>
  <c r="U109"/>
  <c r="V108"/>
  <c r="U108"/>
  <c r="V107"/>
  <c r="U107"/>
  <c r="V106"/>
  <c r="U106"/>
  <c r="V105"/>
  <c r="U105"/>
  <c r="V104"/>
  <c r="U104"/>
  <c r="V103"/>
  <c r="U103"/>
  <c r="V102"/>
  <c r="U102"/>
  <c r="V101"/>
  <c r="U101"/>
  <c r="V100"/>
  <c r="U100"/>
  <c r="V99"/>
  <c r="U99"/>
  <c r="V98"/>
  <c r="U98"/>
  <c r="V97"/>
  <c r="U97"/>
  <c r="V96"/>
  <c r="U96"/>
  <c r="V95"/>
  <c r="U95"/>
  <c r="V94"/>
  <c r="U94"/>
  <c r="V93"/>
  <c r="U93"/>
  <c r="V92"/>
  <c r="U92"/>
  <c r="V91"/>
  <c r="U91"/>
  <c r="V90"/>
  <c r="U90"/>
  <c r="V89"/>
  <c r="U89"/>
  <c r="V88"/>
  <c r="U88"/>
  <c r="V87"/>
  <c r="U87"/>
  <c r="V86"/>
  <c r="U86"/>
  <c r="V85"/>
  <c r="U85"/>
  <c r="V84"/>
  <c r="U84"/>
  <c r="V83"/>
  <c r="U83"/>
  <c r="V82"/>
  <c r="U82"/>
  <c r="V81"/>
  <c r="U81"/>
  <c r="V80"/>
  <c r="U80"/>
  <c r="V79"/>
  <c r="U79"/>
  <c r="V78"/>
  <c r="U78"/>
  <c r="V77"/>
  <c r="U77"/>
  <c r="V76"/>
  <c r="U76"/>
  <c r="V75"/>
  <c r="U75"/>
  <c r="V74"/>
  <c r="U74"/>
  <c r="V73"/>
  <c r="U73"/>
  <c r="V72"/>
  <c r="U72"/>
  <c r="V71"/>
  <c r="V70"/>
  <c r="U70"/>
  <c r="V69"/>
  <c r="U69"/>
  <c r="V68"/>
  <c r="U68"/>
  <c r="V67"/>
  <c r="U67"/>
  <c r="V66"/>
  <c r="U66"/>
  <c r="V65"/>
  <c r="U65"/>
  <c r="V64"/>
  <c r="U64"/>
  <c r="V63"/>
  <c r="U63"/>
  <c r="V62"/>
  <c r="U62"/>
  <c r="V61"/>
  <c r="U61"/>
  <c r="V60"/>
  <c r="U60"/>
  <c r="V59"/>
  <c r="U59"/>
  <c r="V58"/>
  <c r="U58"/>
  <c r="V57"/>
  <c r="U57"/>
  <c r="V56"/>
  <c r="U56"/>
  <c r="V55"/>
  <c r="U55"/>
  <c r="V54"/>
  <c r="U54"/>
  <c r="V53"/>
  <c r="U53"/>
  <c r="V52"/>
  <c r="U52"/>
  <c r="V51"/>
  <c r="U51"/>
  <c r="V50"/>
  <c r="U50"/>
  <c r="V49"/>
  <c r="U49"/>
  <c r="V48"/>
  <c r="U48"/>
  <c r="V47"/>
  <c r="U47"/>
  <c r="V46"/>
  <c r="U46"/>
  <c r="V45"/>
  <c r="U45"/>
  <c r="V44"/>
  <c r="U44"/>
  <c r="V43"/>
  <c r="U43"/>
  <c r="V42"/>
  <c r="U42"/>
  <c r="V41"/>
  <c r="U41"/>
  <c r="V40"/>
  <c r="U40"/>
  <c r="V39"/>
  <c r="U39"/>
  <c r="V38"/>
  <c r="U38"/>
  <c r="V37"/>
  <c r="U37"/>
  <c r="V36"/>
  <c r="U36"/>
  <c r="V35"/>
  <c r="U35"/>
  <c r="V34"/>
  <c r="U34"/>
  <c r="V33"/>
  <c r="U33"/>
  <c r="V32"/>
  <c r="U32"/>
  <c r="V31"/>
  <c r="U31"/>
  <c r="V30"/>
  <c r="U30"/>
  <c r="V29"/>
  <c r="U29"/>
  <c r="V28"/>
  <c r="U28"/>
  <c r="V27"/>
  <c r="U27"/>
  <c r="V26"/>
  <c r="U26"/>
  <c r="V25"/>
  <c r="U25"/>
  <c r="V24"/>
  <c r="U24"/>
  <c r="V23"/>
  <c r="U23"/>
  <c r="V22"/>
  <c r="U22"/>
  <c r="V21"/>
  <c r="U21"/>
  <c r="V20"/>
  <c r="U20"/>
  <c r="V19"/>
  <c r="U19"/>
  <c r="V18"/>
  <c r="U18"/>
  <c r="V17"/>
  <c r="U17"/>
  <c r="V16"/>
  <c r="U16"/>
  <c r="V15"/>
  <c r="U15"/>
  <c r="V14"/>
  <c r="U14"/>
  <c r="V13"/>
  <c r="U13"/>
  <c r="V12"/>
  <c r="U12"/>
  <c r="V11"/>
  <c r="U11"/>
  <c r="V10"/>
  <c r="U10"/>
  <c r="V9"/>
  <c r="U9"/>
  <c r="V8"/>
  <c r="U8"/>
  <c r="A5"/>
  <c r="A4"/>
</calcChain>
</file>

<file path=xl/sharedStrings.xml><?xml version="1.0" encoding="utf-8"?>
<sst xmlns="http://schemas.openxmlformats.org/spreadsheetml/2006/main" count="3963" uniqueCount="1920">
  <si>
    <t>ИНФРА-М Научно-издательский Центр</t>
  </si>
  <si>
    <t>07. Медицина (для учебных заведений и библиотек)
от 31.10.2023</t>
  </si>
  <si>
    <t>Данный прайс-лист не является публичной офертой</t>
  </si>
  <si>
    <t>127214, Москва г, Полярная ул, дом № 31 В, строение 1 эт.3 пом.I.к.9Б</t>
  </si>
  <si>
    <t>Издательство оставляет за собой право на изменение ассортимента и цен на издания.
Информацию о наличии товара и актуальные цены уточняйте у вашего курирующего менеджера 
или напишите нам на электронную почту books@infra-m.ru</t>
  </si>
  <si>
    <t>тел/факс: +7 (495) 280-15-96</t>
  </si>
  <si>
    <t>Заказ</t>
  </si>
  <si>
    <t>Код</t>
  </si>
  <si>
    <t>Цена опт.</t>
  </si>
  <si>
    <t>Наименование товара</t>
  </si>
  <si>
    <t>Основное заглавие</t>
  </si>
  <si>
    <t>Авторы</t>
  </si>
  <si>
    <t>Оформление</t>
  </si>
  <si>
    <t>Издательство</t>
  </si>
  <si>
    <t>Серия</t>
  </si>
  <si>
    <t>Ст-т</t>
  </si>
  <si>
    <t>Стр.</t>
  </si>
  <si>
    <t>Год</t>
  </si>
  <si>
    <t>ISBN</t>
  </si>
  <si>
    <t>Раздел</t>
  </si>
  <si>
    <t>Подраздел</t>
  </si>
  <si>
    <t>Вид издания</t>
  </si>
  <si>
    <t>Уровень образования</t>
  </si>
  <si>
    <t>ОКСО</t>
  </si>
  <si>
    <t>Гриф МО</t>
  </si>
  <si>
    <t>Доп. мат. на znanium.com</t>
  </si>
  <si>
    <t>Обложка</t>
  </si>
  <si>
    <t>ЭБС Znanium.com</t>
  </si>
  <si>
    <t>Аффилиация автора</t>
  </si>
  <si>
    <t>Новинка месяца</t>
  </si>
  <si>
    <t>ПООП</t>
  </si>
  <si>
    <t>К</t>
  </si>
  <si>
    <t>Ш</t>
  </si>
  <si>
    <t>802225.01.01</t>
  </si>
  <si>
    <t>Dermatology and veneorology: Уч.пос. / Д.В.Прохоров.-М.:НИЦ ИНФРА-М,2023.-214 с.(ВО)(п)</t>
  </si>
  <si>
    <t>DERMATOLOGY AND VENEOROLOGY</t>
  </si>
  <si>
    <t>Притуло О.А., Прохоров Д.В., Мараках М.Я. и др.</t>
  </si>
  <si>
    <t>Переплет 7БЦ</t>
  </si>
  <si>
    <t>НИЦ ИНФРА-М</t>
  </si>
  <si>
    <t>Высшее образование</t>
  </si>
  <si>
    <t>978-5-16-018539-2</t>
  </si>
  <si>
    <t>ПРИКЛАДНЫЕ НАУКИ. ТЕХНИКА. МЕДИЦИНА</t>
  </si>
  <si>
    <t>Медицина. Фармакология</t>
  </si>
  <si>
    <t>Учебное пособие</t>
  </si>
  <si>
    <t>Профессиональное образование</t>
  </si>
  <si>
    <t>31.05.01, 31.08.32</t>
  </si>
  <si>
    <t>Крымский федеральный университет им. В.И. Вернадского</t>
  </si>
  <si>
    <t>Октябрь, 2023</t>
  </si>
  <si>
    <t>0123</t>
  </si>
  <si>
    <t>266100.09.01</t>
  </si>
  <si>
    <t>Абилитация детей с церебр. параличом и его синдромами: Практ.рук. / Ф.А.Юнусов - М:НИЦ ИНФРА-М,2023-143с.(О)</t>
  </si>
  <si>
    <t>АБИЛИТАЦИЯ ДЕТЕЙ С ЦЕРЕБРАЛЬНЫМ ПАРАЛИЧОМ И ЕГО СИНДРОМАМИ</t>
  </si>
  <si>
    <t>Юнусов Ф. А., Ефимов А. П.</t>
  </si>
  <si>
    <t>Обложка. КБС</t>
  </si>
  <si>
    <t>Клиническая практика</t>
  </si>
  <si>
    <t>978-5-16-009582-0</t>
  </si>
  <si>
    <t>Практическое руководство</t>
  </si>
  <si>
    <t>Дополнительное образование / Дополнительное профессиональное образование / ДПО - повышение квалификации</t>
  </si>
  <si>
    <t>31.05.01, 31.05.02</t>
  </si>
  <si>
    <t>Российская Академия Медико-Социальный Реабилитации</t>
  </si>
  <si>
    <t>0114</t>
  </si>
  <si>
    <t>082050.10.01</t>
  </si>
  <si>
    <t>Акушерство: Уч.пос. / О.Н.Сластухина-М.:ИЦ РИОР, НИЦ ИНФРА-М,2024.-271 с..-(ВО)(о)</t>
  </si>
  <si>
    <t>АКУШЕРСТВО</t>
  </si>
  <si>
    <t>Сластухина О.Н.</t>
  </si>
  <si>
    <t>ИЦ РИОР</t>
  </si>
  <si>
    <t>978-5-369-00153-0</t>
  </si>
  <si>
    <t>31.02.01, 31.05.01</t>
  </si>
  <si>
    <t>0107</t>
  </si>
  <si>
    <t>674977.03.01</t>
  </si>
  <si>
    <t>Амигдала в сис.регуляции репродуктив.функций организма.../ И.И.Садртдинова-М.:НИЦ ИНФРА-М,2023-148с</t>
  </si>
  <si>
    <t>АМИГДАЛА В СИСТЕМЕ РЕГУЛЯЦИИ РЕПРОДУКТИВНЫХ ФУНКЦИЙ ОРГАНИЗМА ПРИ АБСАНСНОЙ ЭПИЛЕПСИИ</t>
  </si>
  <si>
    <t>Садртдинова И.И., Хисматуллина З.Р.</t>
  </si>
  <si>
    <t>Научная мысль</t>
  </si>
  <si>
    <t>978-5-16-013527-4</t>
  </si>
  <si>
    <t>Монография</t>
  </si>
  <si>
    <t>Дополнительное образование / Дополнительное профессиональное образование</t>
  </si>
  <si>
    <t>31.05.01</t>
  </si>
  <si>
    <t>0118</t>
  </si>
  <si>
    <t>700540.02.01</t>
  </si>
  <si>
    <t>Анализ плоидометрических и морфометрич. параметров...: Моногр./ А.Ю.Долгатов -М.:ИНФРА-М, 2023-147с(О)</t>
  </si>
  <si>
    <t>АНАЛИЗ ПЛОИДОМЕТРИЧЕСКИХ И МОРФОМЕТРИЧЕСКИХ ПАРАМЕТРОВ ПОЧЕЧНО-КЛЕТОЧНОГО РАКА: КЛИНИКО-МОРФОЛОГИЧЕСКИЕ СОПОСТАВЛЕНИЯ</t>
  </si>
  <si>
    <t>Долгатов А.Ю., Климачев В.В., Черданцева Т.М. и др.</t>
  </si>
  <si>
    <t>Научная мысль - АГМУ (65 лет)</t>
  </si>
  <si>
    <t>978-5-16-014804-5</t>
  </si>
  <si>
    <t>Алтайский государственный медицинский университет</t>
  </si>
  <si>
    <t>0119</t>
  </si>
  <si>
    <t>229100.06.01</t>
  </si>
  <si>
    <t>Аналитическая химия. Практ.: Уч.пос. / А.И.Жебентяев -М.:НИЦ ИНФРА-М;Мн.:Нов.знание,2023-428с(ВО)(п)</t>
  </si>
  <si>
    <t>АНАЛИТИЧЕСКАЯ ХИМИЯ. ПРАКТИКУМ</t>
  </si>
  <si>
    <t>Жебентяев А.И., Жерносек А.К., Талуть И.Е.</t>
  </si>
  <si>
    <t>978-5-16-009043-6</t>
  </si>
  <si>
    <t>Профессиональное образование / ВО - Бакалавриат</t>
  </si>
  <si>
    <t>18.02.07, 18.02.01, 31.02.01, 04.03.01, 31.05.01, 31.05.02, 31.05.03, 33.05.01, 18.02.12, 18.01.33</t>
  </si>
  <si>
    <t>Допущено Министерством образования Республики Беларусь в качестве учебного пособия для студентов учреждений высшего образования по специальностям «Фармация», «Химия (фармацевтическая деятельность)»</t>
  </si>
  <si>
    <t>Витебский государственный медицинский университет</t>
  </si>
  <si>
    <t>0113</t>
  </si>
  <si>
    <t>475900.06.01</t>
  </si>
  <si>
    <t>Анатомия и возрастная физиология: Уч. / Г.Н.Тюрикова - М.:НИЦ ИНФРА-М,2024 - 178 с.(ВО: Бакалавр.)(О)</t>
  </si>
  <si>
    <t>АНАТОМИЯ И ВОЗРАСТНАЯ ФИЗИОЛОГИЯ</t>
  </si>
  <si>
    <t>ТюриковаГ.Н., ТюриковаЮ.Б.</t>
  </si>
  <si>
    <t>Высшее образование: Бакалавриат</t>
  </si>
  <si>
    <t>978-5-16-011645-7</t>
  </si>
  <si>
    <t>Учебник</t>
  </si>
  <si>
    <t>44.03.01, 44.03.05, 44.03.02</t>
  </si>
  <si>
    <t>Рекомендовано в качестве учебника для студентов высших учебных заведений, обучающихся по направлениям подготовки 44.03.01 «Педагогическое образование», 44.03.02 «Психолого-педагогическое образование» (квалификация (степень) «бакалавр»)</t>
  </si>
  <si>
    <t>Орловский государственный университет им. И.С. Тургенева</t>
  </si>
  <si>
    <t>0116</t>
  </si>
  <si>
    <t>682820.04.01</t>
  </si>
  <si>
    <t>Анатомия и возрастная физиология: Уч. / Г.Н.Тюрикова - М.:НИЦ ИНФРА-М,2024 - 178 с.(СПО)(П)</t>
  </si>
  <si>
    <t>Тюрикова Г.Н., Тюрикова Ю.Б.</t>
  </si>
  <si>
    <t>Переплет 7БЦ/Без шитья</t>
  </si>
  <si>
    <t>Среднее профессиональное образование</t>
  </si>
  <si>
    <t>978-5-16-013882-4</t>
  </si>
  <si>
    <t>Профессиональное образование / Среднее профессиональное образование</t>
  </si>
  <si>
    <t>31.02.01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</si>
  <si>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44.02.01 «Дошкольное образование», 44.02.02 «Преподавание в начальных классах», 44.02.03 «Педагогика дополнительного образования», 44.02.04 «Специальное дошкольное образование», 44.02.05 «Коррекционная педагогика в начальном образовании», 44.02.06 «Профессиональное обучение (по отраслям)»</t>
  </si>
  <si>
    <t>32</t>
  </si>
  <si>
    <t>252400.11.01</t>
  </si>
  <si>
    <t>Анатомия и физиология гомеостаза: Уч.пос. /Ю.Н.Самко - М.:НИЦ ИНФРА-М,2023 - 94 с(Клиническая практ.)(о)</t>
  </si>
  <si>
    <t>АНАТОМИЯ И ФИЗИОЛОГИЯ ГОМЕОСТАЗА</t>
  </si>
  <si>
    <t>Самко Ю.Н.</t>
  </si>
  <si>
    <t>978-5-16-009383-3</t>
  </si>
  <si>
    <t>Профессиональное образование / ВО - Специалитет</t>
  </si>
  <si>
    <t>31.05.01, 31.05.02, 31.05.03, 44.03.05, 34.03.01</t>
  </si>
  <si>
    <t>Рекомендовано в качестве учебного пособия для студентов высших учебных заведений, обучающихся по направлениям подготовки 31.05.01 «Лечебное дело», 31.05.02 «Педиатрия», 31.05.03 «Стоматология» (квалификация «врач (врач-педиатр; врач-стоматолог) общей практики»)</t>
  </si>
  <si>
    <t>Российский национальный исследовательский медицинский университет им. Н.И. Пирогова</t>
  </si>
  <si>
    <t>220400.10.01</t>
  </si>
  <si>
    <t>Анатомия человека: Уч.пос. / И.М.Прищепа - Мн.:Нов.зн.,НИЦ ИНФРА-М,2023 - 459с.(ВО:Бакалавр.)(п)</t>
  </si>
  <si>
    <t>АНАТОМИЯ ЧЕЛОВЕКА</t>
  </si>
  <si>
    <t>Прищепа И. М.</t>
  </si>
  <si>
    <t>Новое знание</t>
  </si>
  <si>
    <t>978-985-475-579-3</t>
  </si>
  <si>
    <t>49.02.01, 44.03.05, 34.03.01, 52.03.01, 49.03.01, 49.03.02</t>
  </si>
  <si>
    <t>Допущено Министерством образования Республики Беларусь в качестве учебного пособия для студентов учреждений высшего образования по биологическим специальностям</t>
  </si>
  <si>
    <t>Витебский государственный университет им. П.М. Машерова</t>
  </si>
  <si>
    <t>414500.10.01</t>
  </si>
  <si>
    <t>Артериальная гипертензия у детей и подростков...: Моногр. / В.А.Кельцев - М.:НИЦ ИНФРА-М,2024-157с(О)</t>
  </si>
  <si>
    <t>АРТЕРИАЛЬНАЯ ГИПЕРТЕНЗИЯ У ДЕТЕЙ И ПОДРОСТКОВ (КЛИНИКА, ДИАГНОСТИКА, ЛЕЧЕНИЕ)</t>
  </si>
  <si>
    <t>Кельцев В. А.</t>
  </si>
  <si>
    <t>978-5-16-006219-8</t>
  </si>
  <si>
    <t>31.05.02, 30.06.01, 31.06.01, 31.07.01, 31.08.13, 31.08.19, 31.08.36, 31.08.49, 31.08.63</t>
  </si>
  <si>
    <t>Самарский государственный медицинский университет</t>
  </si>
  <si>
    <t>0112</t>
  </si>
  <si>
    <t>777627.03.01</t>
  </si>
  <si>
    <t>Атеросклероз: иммуногенетические...: Моногр. / Е.А.Чагина -М.:НИЦ ИНФРА-М,2024.-171 с.(Науч.мысль)(О)</t>
  </si>
  <si>
    <t>АТЕРОСКЛЕРОЗ: ИММУНОГЕНЕТИЧЕСКИЕ И МЕТАБОЛИЧЕСКИЕ АСПЕКТЫ ПАТОГЕНЕЗА</t>
  </si>
  <si>
    <t>Турмова Е.П., Маркелова Е.В., Чагина Е.А. и др.</t>
  </si>
  <si>
    <t>978-5-16-017710-6</t>
  </si>
  <si>
    <t>31.05.01, 31.06.01</t>
  </si>
  <si>
    <t>Тихоокеанский государственный медицинский университет</t>
  </si>
  <si>
    <t>0122</t>
  </si>
  <si>
    <t>761038.01.01</t>
  </si>
  <si>
    <t>Аускультация сердца: Уч.пос. / В.Н.Ослопов и др.-М.:НИЦ ИНФРА-М,2024.-303 с.(ВО.Сп)(п)</t>
  </si>
  <si>
    <t>АУСКУЛЬТАЦИЯ СЕРДЦА</t>
  </si>
  <si>
    <t>Ослопов В.Н., Мишанина Ю.С., Ослопова Ю.В. и др.</t>
  </si>
  <si>
    <t>Высшее образование: Специалитет</t>
  </si>
  <si>
    <t>978-5-16-017523-2</t>
  </si>
  <si>
    <t>31.05.01, 31.05.02, 32.05.01, 36.05.01</t>
  </si>
  <si>
    <t>Рекомендовано Координационным советом по области образования «Здравоохранение и медицинские науки» в качестве учебного пособия для использования в образовательных учреждениях, реализующих основные профессиональные образовательные программы высшего образования по программам специалитета 31.05.01 «Лечебное дело», 31.05.02 «Педиатрия», 32.05.01 «Медико-профилактическое дело» (протокол № 072 от 21 сентября 2023 г.)</t>
  </si>
  <si>
    <t>Казанский государственный медицинский университет</t>
  </si>
  <si>
    <t>0124</t>
  </si>
  <si>
    <t>770894.04.01</t>
  </si>
  <si>
    <t>Бедренная грыжа: Монография / В.И.Белоконев - М.:НИЦ ИНФРА-М,2024 - 152 с.(Науч.мысль)(О)</t>
  </si>
  <si>
    <t>БЕДРЕННАЯ ГРЫЖА</t>
  </si>
  <si>
    <t>Белоконев В.И., Пушкин С.Ю., Бурнаева Н.С. и др.</t>
  </si>
  <si>
    <t>978-5-16-017466-2</t>
  </si>
  <si>
    <t>31.05.01, 31.05.02, 32.05.01, 31.08.67</t>
  </si>
  <si>
    <t>671271.03.01</t>
  </si>
  <si>
    <t>Биологические и социальные эффекты адаптации к ..: Моногр. / О.Н.Малах - М.:НИЦ ИНФРА-М,2022-200с(О)</t>
  </si>
  <si>
    <t>БИОЛОГИЧЕСКИЕ И СОЦИАЛЬНЫЕ ЭФФЕКТЫ АДАПТАЦИИ К ГИПОБАРИЧЕСКОЙ ГИПОКСИИ</t>
  </si>
  <si>
    <t>Малах О.Н., Крестьянинова Т.Ю.</t>
  </si>
  <si>
    <t>978-5-16-013756-8</t>
  </si>
  <si>
    <t>274400.08.01</t>
  </si>
  <si>
    <t>Биомедицинская этика: Уч. / И.А.Шамов - 2изд.-М.:НИЦ ИНФРА-М,2023 - 288 с.(ВО)(п)</t>
  </si>
  <si>
    <t>БИОМЕДИЦИНСКАЯ ЭТИКА, ИЗД.2</t>
  </si>
  <si>
    <t>Шамов И.А.</t>
  </si>
  <si>
    <t>978-5-16-018686-3</t>
  </si>
  <si>
    <t>31.02.01, 31.05.01, 31.05.02, 31.05.03, 30.05.01, 30.05.02, 30.05.03, 30.06.01, 31.06.01, 30.07.01, 31.07.01, 31.08.01, 31.08.02, 31.08.03, 31.08.04, 31.08.05, 31.08.06, 31.08.07, 31.08.08, 31.08.09, 31.08.10, 31.08.11, 31.08.12, 31.08.13, 31.08.14, 31.08.15, 31.08.16, 31.08.17, 31.08.18, 31.08.19, 31.08.20, 31.08.21, 31.08.22, 31.08.23, 31.08.24, 31.08.25, 31.08.26, 31.08.27, 31.08.28, 31.08.29, 31.08.30, 31.08.31, 31.08.32, 31.08.33, 31.08.34, 31.08.35, 31.08.36, 31.08.37, 31.08.38, 31.08.39, 31.08.40, 31.08.41, 31.08.42, 31.08.43, 31.08.44, 31.08.45, 31.08.46, 31.08.47, 31.08.48, 31.08.49, 31.08.50, 31.08.51, 31.08.52, 31.08.53, 31.08.54, 31.08.55, 31.08.56, 31.08.57, 31.08.58, 31.08.59, 31.08.60, 31.08.61, 31.08.62, 31.08.63, 31.08.64, 31.08.65, 31.08.66, 31.08.67, 31.08.68, 31.08.69, 31.08.70, 31.08.71, 31.08.72, 31.08.73, 31.08.74, 31.08.75, 31.08.76, 31.08.77</t>
  </si>
  <si>
    <t>Рекомендовано Учебно-методическим объединением вузов России по медицинскому и фармацевтическому образованию в качестве учебника для студентов медицинских вузов</t>
  </si>
  <si>
    <t>Дагестанский  государственный медицинский университет</t>
  </si>
  <si>
    <t>0215</t>
  </si>
  <si>
    <t>692030.06.01</t>
  </si>
  <si>
    <t>Биомедицинская этика: Уч.пос. / А.Л.Панищев - М.:НИЦ ИНФРА-М,2024 - 172 с.-(СПО)(П)</t>
  </si>
  <si>
    <t>БИОМЕДИЦИНСКАЯ ЭТИКА</t>
  </si>
  <si>
    <t>Панищев А.Л.</t>
  </si>
  <si>
    <t>978-5-16-014596-9</t>
  </si>
  <si>
    <t>34.01.01, 31.02.01, 31.02.02, 31.02.05, 31.02.06, 33.02.01, 34.02.01, 34.02.02, 31.02.03, 31.02.04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</si>
  <si>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реализующих программу среднего профессионального образования по укрупненной группе специальностей 31.02.00 «Клиническая медицина» (протокол № 9 от 13.05.2019)</t>
  </si>
  <si>
    <t>Финансовый университет при Правительстве Российской Федерации, Курский ф-л</t>
  </si>
  <si>
    <t>164050.11.01</t>
  </si>
  <si>
    <t>Валеология: словарь терминов и понятий / Э.М.Прохорова - М.:НИЦ ИНФРА-М,2024 - 110 с.(о)</t>
  </si>
  <si>
    <t>ВАЛЕОЛОГИЯ: СЛОВАРЬ ТЕРМИНОВ И ПОНЯТИЙ</t>
  </si>
  <si>
    <t>Прохорова Э. М.</t>
  </si>
  <si>
    <t>Библиотека малых словарей "Инфра-М"</t>
  </si>
  <si>
    <t>978-5-16-013211-2</t>
  </si>
  <si>
    <t>Словарь</t>
  </si>
  <si>
    <t>39.04.02, 39.03.02</t>
  </si>
  <si>
    <t>Российский государственный университет туризма и сервиса, ф-л Институт туризма и гостеприимства</t>
  </si>
  <si>
    <t>105800.14.01</t>
  </si>
  <si>
    <t>Валеология: Уч.пос. / Э.М.Прохорова, - 2-е изд.-М.:НИЦ ИНФРА-М,2024.-253 с.(ВО: Бакалавр.)(п)</t>
  </si>
  <si>
    <t>ВАЛЕОЛОГИЯ, ИЗД.2</t>
  </si>
  <si>
    <t>978-5-16-010472-0</t>
  </si>
  <si>
    <t>18.02.01, 43.03.01, 43.03.03, 43.04.01, 43.04.03</t>
  </si>
  <si>
    <t>Рекомендовано в качестве учебного пособия для студентов высших учебных заведений, обучающихся по направлению подготовки 43.03.01 «Сервис» (квалификация (степень) «бакалавр»)</t>
  </si>
  <si>
    <t>0216</t>
  </si>
  <si>
    <t>730437.03.01</t>
  </si>
  <si>
    <t>Взаимодействие антигенов с антителами и с...: Моногр. / Н.Г.Титова-М.:НИЦ ИНФРА-М,2023-186с(П)</t>
  </si>
  <si>
    <t>ВЗАИМОДЕЙСТВИЕ АНТИГЕНОВ С АНТИТЕЛАМИ И С ИММУНОКОМПЕТЕНТНЫМИ КЛЕТКАМИ (КОЛИЧЕСТВЕННЫЕ АСПЕКТЫ)</t>
  </si>
  <si>
    <t>Титова Н.Г.</t>
  </si>
  <si>
    <t>978-5-16-015943-0</t>
  </si>
  <si>
    <t>31.05.01, 31.05.02, 32.05.01, 31.05.03, 30.05.01</t>
  </si>
  <si>
    <t>Научно-исследовательский институт вакцин и сывороток им. И.И. Мечникова</t>
  </si>
  <si>
    <t>468200.07.01</t>
  </si>
  <si>
    <t>Взаимодействие физических полей..: Уч.пос. / Под ред. Нефедова Е.И.-М.:КУРС, НИЦ ИНФРА-М,2023-344с.</t>
  </si>
  <si>
    <t>ВЗАИМОДЕЙСТВИЕ ФИЗИЧЕСКИХ ПОЛЕЙ С БИОЛОГИЧЕСКИМИ ОБЪЕКТАМИ (С ОСНОВАМИ ПРОЕКТИРОВАНИЯ ВЫСОКОЧАСТОТНОЙ МЕДИКО-БИОЛОГИЧЕСКОЙ АППАРАТУРЫ)</t>
  </si>
  <si>
    <t>Нефедов Е.И., Субботина Т.И., Яшин А.А. и др.</t>
  </si>
  <si>
    <t>КУРС</t>
  </si>
  <si>
    <t>978-5-906818-19-5</t>
  </si>
  <si>
    <t>09.02.03, 03.03.03, 11.03.01, 12.03.04, 12.04.02</t>
  </si>
  <si>
    <t>Рекомендовано учебно-методическим объединением вузов Российской Федерации по образованию в области радиотехники, электроники, биомедицинской техники и автоматизации в качестве учебного пособия для студентов высших учебных заведений, обучающихся по направлению подготовки 12.03.04 и 12.04.04 «Биотехнические системы и технологии»</t>
  </si>
  <si>
    <t>0115</t>
  </si>
  <si>
    <t>405000.06.01</t>
  </si>
  <si>
    <t>Вибрационная болезнь: Моногр. / С.А.Бабанов и др. - М.:Вуз. уч., НИЦ ИНФРА-М,2022 - 160 сНаучная книга)(О)</t>
  </si>
  <si>
    <t>ВИБРАЦИОННАЯ БОЛЕЗНЬ</t>
  </si>
  <si>
    <t>Бабанов С.А., Азовскова Т.А., Вакурова Н.В. и др.</t>
  </si>
  <si>
    <t>Вузовский учебник</t>
  </si>
  <si>
    <t>Научная книга</t>
  </si>
  <si>
    <t>978-5-9558-0498-9</t>
  </si>
  <si>
    <t>31.05.01, 31.05.02, 32.05.01</t>
  </si>
  <si>
    <t>631350.06.01</t>
  </si>
  <si>
    <t>Внутренние болезни: заболев. желудочно-кишеч. тракта: Уч.пос. / И.А.Шамов - М.:НИЦ ИНФРА-М,2023-157 с.(ВО)(О)</t>
  </si>
  <si>
    <t>ВНУТРЕННИЕ БОЛЕЗНИ: ЗАБОЛЕВАНИЯ ЖЕЛУДОЧНО-КИШЕЧНОГО ТРАКТА</t>
  </si>
  <si>
    <t>978-5-16-011914-4</t>
  </si>
  <si>
    <t>Рекомендовано в качестве учебного пособия для студентов высших учебных заведений, обучающихся по направлениям подготовки 31.05.01 «Лечебное дело» (квалификация (степень) «врач общей практики»), 31.05.02 «Педиатрия» (квалификация (степень) «врач-педиатр общей практики»)</t>
  </si>
  <si>
    <t>ДА</t>
  </si>
  <si>
    <t>417650.04.01</t>
  </si>
  <si>
    <t>Внутрисосудистое свертывание крови...: Моногр./А.Ш.Бышевский -М.:НИЦ ИНФРА-М,2017-68с(Науч.мысль)(о)</t>
  </si>
  <si>
    <t>ВНУТРИСОСУДИСТОЕ СВЕРТЫВАНИЕ КРОВИ, КОАГУЛОАКТИВНОСТЬ ТРОМБОЦИТОВ И ТОЛЕРАНТНОСТЬ К ТРОМБИНУ</t>
  </si>
  <si>
    <t>Бышевский А. Ш., Карпова И. А., Полякова В. А.</t>
  </si>
  <si>
    <t>978-5-16-006510-6</t>
  </si>
  <si>
    <t>Тюменский государственный медицинский университет</t>
  </si>
  <si>
    <t>445850.11.01</t>
  </si>
  <si>
    <t>Возрастная анатомия и физиология: Уч пос. / Н.Ф. Лысова - М.: НИЦ ИНФРА-М, 2023. - 352 с. (ВО) (п)</t>
  </si>
  <si>
    <t>ВОЗРАСТНАЯ АНАТОМИЯ И ФИЗИОЛОГИЯ</t>
  </si>
  <si>
    <t>Лысова Н.Ф., Айзман Р.И.</t>
  </si>
  <si>
    <t>978-5-16-008972-0</t>
  </si>
  <si>
    <t>44.05.01, 44.03.01, 44.03.05, 44.03.04, 44.03.02, 44.03.03</t>
  </si>
  <si>
    <t>Рекомендовано УМО по образованию в области подготовки педагогических кадров в качестве учебного пособия для студентов высших учебных заведений, обучающихся по направлению 44.03.01 «Педагогическое образование» (квалификация (степень) «бакалавр»)</t>
  </si>
  <si>
    <t>Новосибирский государственный педагогический университет</t>
  </si>
  <si>
    <t>682847.05.01</t>
  </si>
  <si>
    <t>Возрастная анатомия и физиология: Уч.пос. / Н.Ф.Лысова - М.:НИЦ ИНФРА-М,2024 - 352 с.-(СПО)(П)</t>
  </si>
  <si>
    <t>978-5-16-013902-9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</si>
  <si>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44.02.01 «Дошкольное образование», 44.02.02 «Преподавание в начальных классах», 44.02.03 «Педагогика дополнительного образования», 44.02.04 «Специальное дошкольное образование», 44.02.05 «Коррекционная педагогика в начальном образовании», 44.02.06 «Профессиональное обучение (по отраслям)»</t>
  </si>
  <si>
    <t>431700.08.01</t>
  </si>
  <si>
    <t>Возрастная физиология и психофизиология: Уч. пос. / Р.И. Айзман - М.: ИНФРА-М, 2023. - 352 с. (ВО)(п)</t>
  </si>
  <si>
    <t>ВОЗРАСТНАЯ ФИЗИОЛОГИЯ И ПСИХОФИЗИОЛОГИЯ</t>
  </si>
  <si>
    <t>Айзман Р.И., Лысова Н.Ф.</t>
  </si>
  <si>
    <t>978-5-16-006423-9</t>
  </si>
  <si>
    <t>04.03.02, 06.03.01, 44.03.05, 34.03.01, 44.03.04, 49.03.01</t>
  </si>
  <si>
    <t>Рекомендовано УМО по образованию в области подготовки педагогических кадров в качестве учебного пособия для студентов высших учебных заведений, обучающихся по направлению 44.03.01 (050100.62) «Педагогическое образование»</t>
  </si>
  <si>
    <t>682849.04.01</t>
  </si>
  <si>
    <t>Возрастная физиология и психофизиология: Уч.пос. / Р.И.Айзман-М.:НИЦ ИНФРА-М,2023.-352 с.(СПО)(п)</t>
  </si>
  <si>
    <t>978-5-16-013904-3</t>
  </si>
  <si>
    <t>44.02.01, 44.02.02, 44.02.03, 44.02.04, 44.02.05, 44.02.06, 34.02.01</t>
  </si>
  <si>
    <t>Рекомендовано Учебно-методическим советом СПО в качестве учебного пособия для учебных заведений, реализующих программу среднего профессионального образования по специальностям 44.02.03 «Преподавание в начальных классах», 44.02.03 «Педагогика дополнительного образования», 44.02.01 «Дошкольное образование»</t>
  </si>
  <si>
    <t>713886.03.01</t>
  </si>
  <si>
    <t>Восстановительная  терапия церебральных нарушений.../ И.В. Кунцевская — Москва : ИНФРА-М, 2023.-160с.(О)</t>
  </si>
  <si>
    <t>ВОССТАНОВИТЕЛЬНАЯ  ТЕРАПИЯ ЦЕРЕБРАЛЬНЫХ НАРУШЕНИЙ У БОЛЬНЫХ ХРОНИЧЕСКОЙ ОБСТРУКТИВНОЙ БОЛЕЗНЬЮ ЛЕГКИХ НА ЭТАПЕ САНАТОРНО-КУРОРТНОЙ РЕАБИЛИТАЦИИ</t>
  </si>
  <si>
    <t>Кунцевская И.В., Кушнир Г.М., Бобрик Ю.В.</t>
  </si>
  <si>
    <t>978-5-16-015678-1</t>
  </si>
  <si>
    <t>31.05.01, 31.08.49</t>
  </si>
  <si>
    <t>Крымский федеральный университет им. В.И. Вернадского, структурное подразделение Медицинская академия имени С.И. Георгиевского</t>
  </si>
  <si>
    <t>0120</t>
  </si>
  <si>
    <t>712717.04.01</t>
  </si>
  <si>
    <t>Геронтостоматология и забол. слиз. оболоч. полости рта: Уч.пос. / С.И.Токмакова.-М.:НИЦ ИНФРА-М,2024.-126с(О)</t>
  </si>
  <si>
    <t>ГЕРОНТОСТОМАТОЛОГИЯ И ЗАБОЛЕВАНИЯ СЛИЗИСТОЙ ОБОЛОЧКИ ПОЛОСТИ РТА</t>
  </si>
  <si>
    <t>Токмакова С.И., Бондаренко О.В., Воблова Т.В. и др.</t>
  </si>
  <si>
    <t>Высшее образование: Специалитет (АГМУ)</t>
  </si>
  <si>
    <t>978-5-16-015441-1</t>
  </si>
  <si>
    <t>31.05.03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</si>
  <si>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направлению подготовки 31.05.03 «Стоматология» (квалификация «врач-стоматолог») (протокол № 12 от 24.06.2019)</t>
  </si>
  <si>
    <t>362400.04.01</t>
  </si>
  <si>
    <t>Гиперсомнии: клиника, диагностика, лечение: уч.пос. / А.В.Захаров и др.-М.:Форум, НИЦ ИНФРА-М,2023.-56 с.(О)</t>
  </si>
  <si>
    <t>ГИПЕРСОМНИИ: КЛИНИКА, ДИАГНОСТИКА, ЛЕЧЕНИЕ</t>
  </si>
  <si>
    <t>Захаров А.В., Хивинцева Е.В., Повереннова И.Е.</t>
  </si>
  <si>
    <t>Форум</t>
  </si>
  <si>
    <t>978-5-00091-075-7</t>
  </si>
  <si>
    <t>31.08.05</t>
  </si>
  <si>
    <t>Академия права и управления Федеральной службы исполнения наказаний</t>
  </si>
  <si>
    <t>416150.06.01</t>
  </si>
  <si>
    <t>Гипертрофическая кардиомиопатия: патофизиология..: Уч. пос./Ю.Н.Беленков.-М.:Альфа-М, НИЦ ИНФРА-М,2023.-256 с.(П)</t>
  </si>
  <si>
    <t>ГИПЕРТРОФИЧЕСКАЯ КАРДИОМИОПАТИЯ: ПАТОФИЗИОЛОГИЯ, КЛИНИКА И ДИАГНОСТИКА</t>
  </si>
  <si>
    <t>Беленков Ю. Н., Привалова Е. В., Каплунова В. Ю.</t>
  </si>
  <si>
    <t>Альфа-М</t>
  </si>
  <si>
    <t>978-5-98281-334-3</t>
  </si>
  <si>
    <t>32.04.01</t>
  </si>
  <si>
    <t>Рекомендовано Российской медицинской академией последипломного образования в качестве учебного пособия для студентов медицинских вузов, обучающихся по специальности 060101 «Лечебное дело»</t>
  </si>
  <si>
    <t>Первый Московский государственный медицинский университет им. И.М. Сеченова</t>
  </si>
  <si>
    <t>418050.04.01</t>
  </si>
  <si>
    <t>Гипертрофическая кардиомиопатия: факт. риск..:Уч.пос./ В.Ю.Каплунова-М:Альфа-М:НИЦ ИНФРА-М,2020-160с (п)</t>
  </si>
  <si>
    <t>ГИПЕРТРОФИЧЕСКАЯ КАРДИОМИОПАТИЯ: ФАКТОРЫ РИСКА, ПРОГНОЗ И ВАРИАНТЫ ЛЕЧЕНИЯ</t>
  </si>
  <si>
    <t>Каплунова В. Ю., Привалова Е. В., Беленков Ю. Н.</t>
  </si>
  <si>
    <t>978-5-98281-335-0</t>
  </si>
  <si>
    <t>32.04.01, 31.05.01</t>
  </si>
  <si>
    <t>205800.12.01</t>
  </si>
  <si>
    <t>Гистология, цитология и эмбриология: Уч.пос. /  Студеникина Т.М. - М.:НИЦ ИНФРА-М,2024 - 574 с.-(ВО)(П)</t>
  </si>
  <si>
    <t>ГИСТОЛОГИЯ, ЦИТОЛОГИЯ И ЭМБРИОЛОГИЯ</t>
  </si>
  <si>
    <t>Студеникина Т. М., Вылегжанина Т. А., Островская Т. И., Стельмах И. А., Студеникина Т. М.</t>
  </si>
  <si>
    <t>978-5-16-006767-4</t>
  </si>
  <si>
    <t>31.02.01, 06.03.01, 06.04.01, 31.05.01, 31.05.02, 30.05.01, 30.05.02, 30.05.03, 44.03.01, 44.03.05</t>
  </si>
  <si>
    <t>Допущено Министерством образования Республики Беларусь в качестве учебного пособия для студентов учреждений высшего образования по медицинским специальностям</t>
  </si>
  <si>
    <t>Белорусский государственный медицинский университет</t>
  </si>
  <si>
    <t>172950.13.01</t>
  </si>
  <si>
    <t>Государственная и муниц. полит. в сфере здравоохр.:Моногр./М.М.Левкевич -М.:НИЦ ИНФРА-М,2022-216с(О)</t>
  </si>
  <si>
    <t>ГОСУДАРСТВЕННАЯ И МУНИЦИПАЛЬНАЯ ПОЛИТИКА В СФЕРЕ ЗДРАВООХРАНЕНИЯ:РЕАЛИЗАЦИЯ И ОЦЕНКА ЭФФЕКТИВНОСТИ</t>
  </si>
  <si>
    <t>Левкевич М.М., Рудлицкая Н.В.</t>
  </si>
  <si>
    <t>978-5-16-009842-5</t>
  </si>
  <si>
    <t>Кубанский государственный аграрный университет им. И.Т. Трубилина</t>
  </si>
  <si>
    <t>0111</t>
  </si>
  <si>
    <t>377600.08.01</t>
  </si>
  <si>
    <t>Грыжи живота: Совр.аспекты этиологии, патог..: Уч.пос./В.И.Белоконев-Форум,НИЦ ИНФРА-М,2024-184с(ВО)</t>
  </si>
  <si>
    <t>ГРЫЖИ ЖИВОТА: СОВРЕМЕННЫЕ АСПЕКТЫ ЭТИОЛОГИИ, ПАТОГЕНЕЗА, ДИАГНОСТИКИ И ЛЕЧЕНИЯ</t>
  </si>
  <si>
    <t>Белоконев В.И., Пушкин С.Ю., Ковалева З.В. и др.</t>
  </si>
  <si>
    <t>978-5-00091-097-9</t>
  </si>
  <si>
    <t>31.05.01, 31.08.67</t>
  </si>
  <si>
    <t>Рекомендовано в качестве учебного пособия для студентов медицинских вузов и системы последипломного профессионального образования врачей по специальности 31.08.67 «Хирургия»</t>
  </si>
  <si>
    <t>729932.02.01</t>
  </si>
  <si>
    <t>Грязелечение в Республике Крым: Моногр. / Т.Ф.Голубова-М.:НИЦ ИНФРА-М,2024.-315 с.(Науч.мысль)(О)</t>
  </si>
  <si>
    <t>ГРЯЗЕЛЕЧЕНИЕ В РЕСПУБЛИКЕ КРЫМ</t>
  </si>
  <si>
    <t>Голубова Т.Ф., Любчик В.Н.</t>
  </si>
  <si>
    <t>978-5-16-016025-2</t>
  </si>
  <si>
    <t>31.05.01, 31.05.02, 31.06.01</t>
  </si>
  <si>
    <t>Национальный медицинский исследовательский центр реабилитации и курортологии</t>
  </si>
  <si>
    <t>0121</t>
  </si>
  <si>
    <t>420400.10.01</t>
  </si>
  <si>
    <t>Депрессии и резистентность: Практ. рук. / Ю.В.Быков - М.:ИЦ РИОР, НИЦ ИНФРА-М,2023 - 370 с.(О)</t>
  </si>
  <si>
    <t>ДЕПРЕССИИ И РЕЗИСТЕНТНОСТЬ</t>
  </si>
  <si>
    <t>Быков Ю.В., Беккер Р.А., Резников М.К.</t>
  </si>
  <si>
    <t>Наука и практика</t>
  </si>
  <si>
    <t>978-5-369-01096-9</t>
  </si>
  <si>
    <t>37.03.01, 37.04.01, 31.05.01</t>
  </si>
  <si>
    <t>Ставропольский государственный медицинский университет Министерства здравоохранения Российской Федерации</t>
  </si>
  <si>
    <t>682721.04.01</t>
  </si>
  <si>
    <t>Дерматология и венерология: Уч.пос. / О.А.Притуло.-М.:НИЦ ИНФРА-М,2023.-204с.(ВО: Спец. (КрымФУ))(П)</t>
  </si>
  <si>
    <t>ДЕРМАТОЛОГИЯ И ВЕНЕРОЛОГИЯ</t>
  </si>
  <si>
    <t>Притуло О.А., Винцерская Г.А., Прохоров Д.В. и др.</t>
  </si>
  <si>
    <t>Высшее образование: Специалитет (КрымФУ)</t>
  </si>
  <si>
    <t>978-5-16-016383-3</t>
  </si>
  <si>
    <t>31.02.01, 31.02.02, 31.05.01, 31.05.02, 32.05.01, 31.05.03, 43.02.12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</si>
  <si>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направлению подготовки 31.05.01 «Лечебное дело» (квалификация «врач общей практики») (протокол № 2 от 28.01.2019)</t>
  </si>
  <si>
    <t>236100.10.01</t>
  </si>
  <si>
    <t>Доврачебная мед. помощь при неот.сост. у детей: Уч.пос. / Д.И.Зелинская -М.:НИЦ ИНФРА-М,2023-74с.(О)</t>
  </si>
  <si>
    <t>ДОВРАЧЕБНАЯ МЕДИЦИНСКАЯ ПОМОЩЬ ПРИ НЕОТЛОЖНЫХ СОСТОЯНИЯХ У ДЕТЕЙ</t>
  </si>
  <si>
    <t>Зелинская Д.И., Терлецкая Р.Н.</t>
  </si>
  <si>
    <t>Дополнительное образование медсестер</t>
  </si>
  <si>
    <t>978-5-16-009153-2</t>
  </si>
  <si>
    <t>34.01.01, 31.02.01, 34.02.01, 34.02.02, 31.05.02, 34.03.01</t>
  </si>
  <si>
    <t>Рекомендовано в качестве учебного пособия для студентов высших учебных заведений, обучающихся по направлению подготовки 34.03.01 «Сестринское дело» (квалификация (степень) «академическая медицинская сестра»)</t>
  </si>
  <si>
    <t>Российская медицинская академия непрерывного профессионального образования</t>
  </si>
  <si>
    <t>682859.06.01</t>
  </si>
  <si>
    <t>Доврачебная мед. помощь при неотложных сост. у детей: Уч.пос. / Д.И.Зелинская-М.:НИЦ ИНФРА-М,2024.-74с(О)</t>
  </si>
  <si>
    <t>978-5-16-013912-8</t>
  </si>
  <si>
    <t>34.02.01</t>
  </si>
  <si>
    <t>Рекомендовано в качестве учебного пособия для студентов средних профессиональных учебных заведений, обучающихся по специальности 34.02.01 «Сестринское дело»</t>
  </si>
  <si>
    <t>?2</t>
  </si>
  <si>
    <t>436300.07.01</t>
  </si>
  <si>
    <t>Жирные кислоты, триглицериды...: Моногр. / В.Н. Титов - М.: НИЦ ИНФРА-М, 2023 -197 с. (Науч.мысль)(о)</t>
  </si>
  <si>
    <t>ЖИРНЫЕ КИСЛОТЫ, ТРИГЛИЦЕРИДЫ, ГИПЕРТРИГЛИЦЕРИДЕМИЯ, ГИПЕРГЛЕКЕМИЯ И ИНСУЛИН</t>
  </si>
  <si>
    <t>Титов В.Н., Рожкова Т.А., Амелюшкина В.А.</t>
  </si>
  <si>
    <t>978-5-16-011325-8</t>
  </si>
  <si>
    <t>Российский кардиологический научно-производственный комплекс</t>
  </si>
  <si>
    <t>420250.05.01</t>
  </si>
  <si>
    <t>Заболевания внутр. органов при манифестных..: Моногр./Б.Н.Кривошеев - 2 изд.-ИНФРА-М, 2023-296с.(О)</t>
  </si>
  <si>
    <t>ЗАБОЛЕВАНИЯ ВНУТРЕННИХ ОРГАНОВ ПРИ МАНИФЕСТНЫХ И ЛАТЕНТНЫХ НАРУШЕНИЯХ ПОРФИРИНОВОГО ОБМЕНА, ИЗД.2</t>
  </si>
  <si>
    <t>Кривошеев Б. Н., Куимов А. Д., Кривошеев А. Б.</t>
  </si>
  <si>
    <t>978-5-16-006542-7</t>
  </si>
  <si>
    <t>Новосибирский государственный медицинский университет</t>
  </si>
  <si>
    <t>0214</t>
  </si>
  <si>
    <t>714390.02.01</t>
  </si>
  <si>
    <t>Закономерности формир. спинального тормож...: Моногр. / А.А.Челноков-М.:НИЦ ИНФРА-М,2023.-192с(О)</t>
  </si>
  <si>
    <t>ЗАКОНОМЕРНОСТИ ФОРМИРОВАНИЯ СПИНАЛЬНОГО ТОРМОЖЕНИЯ У ЧЕЛОВЕКА</t>
  </si>
  <si>
    <t>Челноков А.А., Городничев Р.М.</t>
  </si>
  <si>
    <t>978-5-16-015521-0</t>
  </si>
  <si>
    <t>Великолукская государственная академия физической культуры и спорта</t>
  </si>
  <si>
    <t>728770.06.01</t>
  </si>
  <si>
    <t>Здоровый человек и его окружение: Уч. / С.Р.Волков - М.:НИЦ ИНФРА-М,2021 - 641 с.-(СПО)(П)</t>
  </si>
  <si>
    <t>ЗДОРОВЫЙ ЧЕЛОВЕК И ЕГО ОКРУЖЕНИЕ</t>
  </si>
  <si>
    <t>Волков С.Р., Волкова М.М.</t>
  </si>
  <si>
    <t>978-5-16-016062-7</t>
  </si>
  <si>
    <t>31.02.01, 34.02.01, 34.02.02, 34.03.01</t>
  </si>
  <si>
    <t>Рекомендовано ГОУ ВПО «Первый Московский государственный медицинский университет имени И.М. Сеченова» в качестве учебника для студентов учреждений среднего профессионального образования, обучающихся по специальностям «Лечебное дело» и «Сестринское дело»</t>
  </si>
  <si>
    <t>Московский областной медицинский колледж № 1</t>
  </si>
  <si>
    <t>235100.04.01</t>
  </si>
  <si>
    <t>Здоровье студентов: социологический анализ: Моногр. / И.В.Журавлева - М.:НИЦ ИНФРА-М,2022 - 272 с.(о)</t>
  </si>
  <si>
    <t>ЗДОРОВЬЕ СТУДЕНТОВ: СОЦИОЛОГИЧЕСКИЙ АНАЛИЗ</t>
  </si>
  <si>
    <t>Журавлева И.В.</t>
  </si>
  <si>
    <t>978-5-16-009142-6</t>
  </si>
  <si>
    <t>32.04.01, 39.04.01, 32.05.01, 39.03.01, 39.03.03</t>
  </si>
  <si>
    <t>Институт социологии Российской академии наук</t>
  </si>
  <si>
    <t>689643.04.01</t>
  </si>
  <si>
    <t>Изменения кожи у терапевтического пациента: Уч.пос. / Е.В.Хазова-М.:НИЦ ИНФРА-М,2024.-296 с.(ВО)(п)</t>
  </si>
  <si>
    <t>ИЗМЕНЕНИЯ КОЖИ У ТЕРАПЕВТИЧЕСКОГО ПАЦИЕНТА</t>
  </si>
  <si>
    <t>Хазова Е.В., Ослопов В.Н., Ослопова Ю.В. и др.</t>
  </si>
  <si>
    <t>978-5-16-014756-7</t>
  </si>
  <si>
    <t>Рекомендовано Координационным советом по области образования «Здравоохранение и медицинские науки» в качестве учебного пособия для использования в образовательных учреждениях, реализующих основные профессиональные образовательные программы высшего образования уровня специалитета по направлениям подготовки 31.05.01 «Лечебное дело», 31.05.02 «Педиатрия», 32.05.01 «Медико-профилактическое дело» (регистрационный номер рецензии: 891 ЭКУ от 17 октября 2019 г.)</t>
  </si>
  <si>
    <t>706521.04.01</t>
  </si>
  <si>
    <t>Именные симптомы и синдромы в акуш. и гинекологии: Уч.пос. / Стрижаков А.Н. - М.:НИЦ ИНФРА-М,2024.-267с(П)</t>
  </si>
  <si>
    <t>ИМЕННЫЕ СИМПТОМЫ И СИНДРОМЫ В АКУШЕРСТВЕ И ГИНЕКОЛОГИИ</t>
  </si>
  <si>
    <t>Стрижаков А.Н., Тезиков Ю.В., Липатов И.С. и др.</t>
  </si>
  <si>
    <t>978-5-16-015472-5</t>
  </si>
  <si>
    <t>Рекомендовано Координационным советом по области образования «Здравоохранение и медицинские науки» федерального государственного автономного образовательного учреждения высшего образования «Первый Московский государственный медицинский университет имени И.М. Сеченова» Министерства здравоохранения Российской Федерации (Сеченовский Университет)  в качестве учебного пособия для использования в образовательных учреждениях, реализующих основные профессиональные образовательные программы высшего образования уровня специалитета по направлению подготовки 31.05.01 «Лечебное дело»</t>
  </si>
  <si>
    <t>732496.05.01</t>
  </si>
  <si>
    <t>Иммунопатогенез острого панкреатита: Моногр. / Е.Е.Ачкасов - М.:НИЦ ИНФРА-М,2023 - 168 с.(Науч.мысль)(О)</t>
  </si>
  <si>
    <t>ИММУНОПАТОГЕНЕЗ ОСТРОГО ПАНКРЕАТИТА</t>
  </si>
  <si>
    <t>Ачкасов Е.Е., Винник Ю.С., Дунаевская С.С.</t>
  </si>
  <si>
    <t>978-5-16-016246-1</t>
  </si>
  <si>
    <t>31.05.01, 31.08.28</t>
  </si>
  <si>
    <t>715720.02.01</t>
  </si>
  <si>
    <t>Иммунотропные эффекты лечебных факторов: Моногр. / А.М.Земсков и др.-М.:НИЦ ИНФРА-М,2023.-186 с..(О)</t>
  </si>
  <si>
    <t>ИММУНОТРОПНЫЕ ЭФФЕКТЫ ЛЕЧЕБНЫХ ФАКТОРОВ</t>
  </si>
  <si>
    <t>Земсков А.М., Земскова В.А., Земсков В.М.</t>
  </si>
  <si>
    <t>978-5-16-015526-5</t>
  </si>
  <si>
    <t>Воронежский государственный медицинский университет им. Н.Н. Бурденко</t>
  </si>
  <si>
    <t>420050.09.01</t>
  </si>
  <si>
    <t>Инфаркт миокарда у женщин: Моногр. / А.Д.Куимов - М.: НИЦ ИНФРА-М, 2023 - 126 с.(Науч. мысль) (о)</t>
  </si>
  <si>
    <t>ИНФАРКТ МИОКАРДА У ЖЕНЩИН</t>
  </si>
  <si>
    <t>Куимов А. Д.</t>
  </si>
  <si>
    <t>978-5-16-006540-3</t>
  </si>
  <si>
    <t>31.05.01, 31.06.01, 31.07.01, 31.08.36</t>
  </si>
  <si>
    <t>274500.07.01</t>
  </si>
  <si>
    <t>Инфекционные  и  паразитарные  заболевания у детей: Уч. пос. / Д.И.Зелинская - М.: ИНФРА-М, 2023 - 352с.(П)</t>
  </si>
  <si>
    <t>ИНФЕКЦИОННЫЕ  И  ПАРАЗИТАРНЫЕ  ЗАБОЛЕВАНИЯ У ДЕТЕЙ</t>
  </si>
  <si>
    <t>Зелинская Д. И., Исполатовская Э. О., Кешишян Е. С., Кузнецов А. И.</t>
  </si>
  <si>
    <t>978-5-16-009702-2</t>
  </si>
  <si>
    <t>31.05.01, 31.05.02, 31.05.03, 33.05.01, 30.05.01, 30.05.02, 31.08.19, 31.08.35, 34.03.01</t>
  </si>
  <si>
    <t>682873.02.01</t>
  </si>
  <si>
    <t>Инфекционные  и  паразитарные заболевания у детей: руководство:Уч.пос. / Д.И.Зелинская и др.-М.:НИЦ ИНФРА-М,2020.-352 с..-(Среднее профессиона</t>
  </si>
  <si>
    <t>ИНФЕКЦИОННЫЕ  И  ПАРАЗИТАРНЫЕ ЗАБОЛЕВАНИЯ У ДЕТЕЙ: РУКОВОДСТВО</t>
  </si>
  <si>
    <t>Зелинская Д.И., Исполатовская Э.О., Кешишян Е.С. и др.</t>
  </si>
  <si>
    <t>978-5-16-013923-4</t>
  </si>
  <si>
    <t>31.02.01, 31.02.02, 34.02.01, 34.03.01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</si>
  <si>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31.02.01 «Лечебное дело», 31.02.02 «Акушерское дело», 32.02.01 «Медико-профилактическое дело», 34.02.01 «Сестринское дело»</t>
  </si>
  <si>
    <t>52</t>
  </si>
  <si>
    <t>643070.07.01</t>
  </si>
  <si>
    <t>Клиническая биохимия:курс лекций / В.Н.Титов - М.:НИЦ ИНФРА-М,2023 - 441 с.(Клиническая практика)(П)</t>
  </si>
  <si>
    <t>КЛИНИЧЕСКАЯ БИОХИМИЯ:КУРС ЛЕКЦИЙ</t>
  </si>
  <si>
    <t>Титов В.Н.</t>
  </si>
  <si>
    <t>978-5-16-012430-8</t>
  </si>
  <si>
    <t>Курс лекций</t>
  </si>
  <si>
    <t>30.06.01, 31.06.01, 30.07.01, 31.07.01</t>
  </si>
  <si>
    <t>0117</t>
  </si>
  <si>
    <t>716434.01.01</t>
  </si>
  <si>
    <t>Клиническая иммунология и аллергология: Уч. / А.М.Земсков.-М.:НИЦ ИНФРА-М,2023.-420 с.(ВО: Спец.)(П)</t>
  </si>
  <si>
    <t>КЛИНИЧЕСКАЯ ИММУНОЛОГИЯ И АЛЛЕРГОЛОГИЯ</t>
  </si>
  <si>
    <t>Земсков А.М., Земсков В.М., Земскова В.А.</t>
  </si>
  <si>
    <t>978-5-16-015737-5</t>
  </si>
  <si>
    <t>Январь, 2023</t>
  </si>
  <si>
    <t>658024.03.01</t>
  </si>
  <si>
    <t>Клиническая история хирургич. больного: Справ.пос./ В.И.Белоконев-М:Форум,НИЦ ИНФРА-М,2023-223с(ВО)(П)</t>
  </si>
  <si>
    <t>КЛИНИЧЕСКАЯ ИСТОРИЯ ХИРУРГИЧЕСКОГО БОЛЬНОГО</t>
  </si>
  <si>
    <t>Белоконев В.И., Мелентьева О.Н.</t>
  </si>
  <si>
    <t>978-5-00091-470-0</t>
  </si>
  <si>
    <t>Справочное пособие</t>
  </si>
  <si>
    <t>Рекомендовано в качестве учебного пособия  для студентов высших учебных заведений, обучающихся по направлениям подготовки 31.05.01 «Лечебное дело» (квалификация «врач общей практики»); 31.08.67 «Хирургия» (квалификация «врач-хирург»)</t>
  </si>
  <si>
    <t>420150.09.01</t>
  </si>
  <si>
    <t>Клиническая психиатрия. Избранные лекции: Уч.пос. / Л.М.Барденштейн -М.:НИЦ ИНФРА-М,2023-432с(ВО)(п)</t>
  </si>
  <si>
    <t>КЛИНИЧЕСКАЯ ПСИХИАТРИЯ. ИЗБРАННЫЕ ЛЕКЦИИ</t>
  </si>
  <si>
    <t>Барденштейн Л.М., Беглянкин Н.И., Казаковцев Б.А. и др.</t>
  </si>
  <si>
    <t>978-5-16-006541-0</t>
  </si>
  <si>
    <t>31.00.00, 31.05.03</t>
  </si>
  <si>
    <t>Рекомендуется Учебно-методическим объединением по медицинскому и фармацевтическому образованию вузов России в качестве учебного пособия для студентов медицинских вузов, обучающихся по специальности 060105 — "Стоматология”</t>
  </si>
  <si>
    <t>Московский государственный медико-стоматологический университет им. А.И. Евдокимова</t>
  </si>
  <si>
    <t>176300.09.01</t>
  </si>
  <si>
    <t>Клиническая фармакол.и рациональная...: Уч.пос. / В.В.Косарев-М.:Вуз.уч.,НИЦ ИНФРА-М,2023-237с(П)</t>
  </si>
  <si>
    <t>КЛИНИЧЕСКАЯ ФАРМАКОЛОГИЯ И РАЦИОНАЛЬНАЯ ФАРМАКОТЕРАПИЯ</t>
  </si>
  <si>
    <t>Косарев В. В., Бабанов С. А.</t>
  </si>
  <si>
    <t>978-5-9558-0258-9</t>
  </si>
  <si>
    <t>Рекомендовано Учебно-методическим объединением по медицинскому и фармацевтическому образованию вузов РФ в качестве учебного пособия для системы послевузовского профессионального образования врачей</t>
  </si>
  <si>
    <t>721508.05.01</t>
  </si>
  <si>
    <t>Клиническая эндокрин. детей и подростков: Уч.пос.: В 2 ч.Ч.2 / Ю.Г.Самойлова - М.:НИЦ ИНФРА-М,2024 - 286 с.(П)</t>
  </si>
  <si>
    <t>КЛИНИЧЕСКАЯ ЭНДОКРИНОЛОГИЯ ДЕТЕЙ И ПОДРОСТКОВ: В 2 ЧАСТЯХ ЧАСТЬ 2, Т.2</t>
  </si>
  <si>
    <t>Самойлова Ю.Г., Олейник О.А., Ворожцова И.Н. и др.</t>
  </si>
  <si>
    <t>978-5-16-016020-7</t>
  </si>
  <si>
    <t>31.05.02, 32.05.01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</si>
  <si>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направлению подготовки 31.05.02 «Педиатрия» (квалификация «врач-педиатр общей практики») (протокол № 12 от 24.06.2019)</t>
  </si>
  <si>
    <t>Сибирский государственный медицинский университет</t>
  </si>
  <si>
    <t>674053.07.01</t>
  </si>
  <si>
    <t>Клиническая эндокринология детей и подростков: Уч. пос.: В 2 ч.Ч.1 / Ю.Г.Самойлова-М.:НИЦ ИНФРА-М,2023-313с(П)</t>
  </si>
  <si>
    <t>КЛИНИЧЕСКАЯ ЭНДОКРИНОЛОГИЯ ДЕТЕЙ И ПОДРОСТКОВ, Т.1</t>
  </si>
  <si>
    <t>Самойлова Ю.Г., Олейник О.А., Матвеева М.В. и др.</t>
  </si>
  <si>
    <t>978-5-16-015100-7</t>
  </si>
  <si>
    <t>702285.04.01</t>
  </si>
  <si>
    <t>Клинические варианты повреждений пищевода...: Уч.пос. / В.И.Белоконев - М.:НИЦ ИНФРА-М,2022 - 162 с.(П)</t>
  </si>
  <si>
    <t>КЛИНИЧЕСКИЕ ВАРИАНТЫ ПОВРЕЖДЕНИЙ ПИЩЕВОДА, ДИАГНОСТИКА И СПОСОБЫ ЛЕЧЕНИЯ</t>
  </si>
  <si>
    <t>978-5-16-015024-6</t>
  </si>
  <si>
    <t>31.05.01, 31.05.02, 31.08.28</t>
  </si>
  <si>
    <t>758410.01.01</t>
  </si>
  <si>
    <t>Комплексная нелекарств. коррек. климактерических расстройств...: Моногр. / Р.Р.Бериханова-М.:НИЦ ИНФРА-М,2022.-251 с.(П)</t>
  </si>
  <si>
    <t>КОМПЛЕКСНАЯ НЕЛЕКАРСТВЕННАЯ КОРРЕКЦИЯ КЛИМАКТЕРИЧЕСКИХ РАССТРОЙСТВ У ПАЦИЕНТОК С МЕТАБОЛИЧЕСКИМ СИНДРОМОМ</t>
  </si>
  <si>
    <t>Бериханова Р.Р., Миненко И.А.</t>
  </si>
  <si>
    <t>978-5-16-017061-9</t>
  </si>
  <si>
    <t>164550.07.01</t>
  </si>
  <si>
    <t>Комплексное восстановл. речи у взрослых пациентов... /В.А.Тинин -М.:ИЦ РИОР, НИЦ ИНФРА-М,2022-11с(О)</t>
  </si>
  <si>
    <t>КОМПЛЕКСНОЕ ВОССТАНОВЛЕНИЕ РЕЧИ У ВЗРОСЛЫХ ПАЦИЕНТОВ</t>
  </si>
  <si>
    <t>Тинин В.А.</t>
  </si>
  <si>
    <t>978-5-369-00995-6</t>
  </si>
  <si>
    <t>44.04.03, 31.05.01, 31.05.02, 31.08.42</t>
  </si>
  <si>
    <t>ГБУЗ «ГП№69 ДЗМ»</t>
  </si>
  <si>
    <t>084450.07.01</t>
  </si>
  <si>
    <t>Компьютер. электрофизиол. и функцион. диагн.: Уч. пос. / А.П. Кулаичев - 4 изд. -М.:Форум,2018-640с.</t>
  </si>
  <si>
    <t>КОМПЬЮТЕРНАЯ ЭЛЕКТРОФИЗИОЛОГИЯ И ФУНКЦИОНАЛЬНАЯ ДИАГНОСТИКА, ИЗД.4</t>
  </si>
  <si>
    <t>Кулаичев А. П.</t>
  </si>
  <si>
    <t>978-5-91134-148-0</t>
  </si>
  <si>
    <t>31.02.01, 31.05.01, 31.05.02, 30.05.02, 30.05.03</t>
  </si>
  <si>
    <t>Допущено Учебно-методическим объединением по классическому университетскому образованию в качестве учебного пособия для студентов, обучающихся по направлению 020200 "Биология" и специальности 020205 "Физиология"</t>
  </si>
  <si>
    <t>Московский государственный университет им. М.В. Ломоносова, биологический факультет</t>
  </si>
  <si>
    <t>0415</t>
  </si>
  <si>
    <t>084450.10.01</t>
  </si>
  <si>
    <t>Компьютер. электрофизиол. и функцион. диагн.: Уч.пос. / А.П. Кулаичев -5 изд.-М.:Форум,2023-470с(П)</t>
  </si>
  <si>
    <t>КОМПЬЮТЕРНАЯ ЭЛЕКТРОФИЗИОЛОГИЯ И ФУНКЦИОНАЛЬНАЯ ДИАГНОСТИКА, ИЗД.5</t>
  </si>
  <si>
    <t>Кулаичев А.</t>
  </si>
  <si>
    <t>978-5-16-014671-3</t>
  </si>
  <si>
    <t>Допущено Учебно-методическим объединением по классическому университетскому образованию в качестве учебного пособия для вузов по дисциплинам «Физиология», «Психология»</t>
  </si>
  <si>
    <t>0519</t>
  </si>
  <si>
    <t>717628.04.01</t>
  </si>
  <si>
    <t>Лечебная физ. культ. при заболев. людей пожилого возраста: Уч.пос. / Т.В.Карасева-М.:НИЦ ИНФРА-М,2023.-219 с.(ВО)(П)</t>
  </si>
  <si>
    <t>ЛЕЧЕБНАЯ ФИЗИЧЕСКАЯ КУЛЬТУРА ПРИ ЗАБОЛЕВАНИЯХ ЛЮДЕЙ ПОЖИЛОГО ВОЗРАСТА</t>
  </si>
  <si>
    <t>Карасева Т.В., Махов А.С., Замогильнов А.И. и др.</t>
  </si>
  <si>
    <t>978-5-16-018569-9</t>
  </si>
  <si>
    <t>34.02.02, 49.03.01, 49.03.02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</si>
  <si>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направлениям подготовки 49.03.01 «Физическая культура», 49.03.02 «Физическая культура для лиц с отклонениями в состоянии здоровья (адаптивная физическая культура)» (квалификация (степень) «бакалавр») (протокол № 8 от 22.06.2020)</t>
  </si>
  <si>
    <t>Ивановский государственный университет</t>
  </si>
  <si>
    <t>758397.03.01</t>
  </si>
  <si>
    <t>Лечебная физ. культ. при заболеваниях людей...: Уч.пос. / Т.В.Карасева.-М.:НИЦ ИНФРА-М,2023.-219 с(П)</t>
  </si>
  <si>
    <t>978-5-16-016983-5</t>
  </si>
  <si>
    <t>49.02.01, 49.02.02, 31.02.01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</si>
  <si>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49.02.01 «Физическая культура», 49.02.02 «Адаптивная физическая культура», 31.02.01 «Лечебное дело» (протокол № 12 от 14.12.2020)</t>
  </si>
  <si>
    <t>ПО2</t>
  </si>
  <si>
    <t>758402.03.01</t>
  </si>
  <si>
    <t>Лечебная физ. культ. при заболеваниях нервной сис.: Уч.пос. / Т.В.Карасева - М.:НИЦ ИНФРА-М,2023-164 с.(П)</t>
  </si>
  <si>
    <t>ЛЕЧЕБНАЯ ФИЗИЧЕСКАЯ КУЛЬТУРА ПРИ ЗАБОЛЕВАНИЯХ НЕРВНОЙ СИСТЕМЫ</t>
  </si>
  <si>
    <t>Карасева Т.В., Махов А.С., Толстова С.Ю.</t>
  </si>
  <si>
    <t>978-5-16-016984-2</t>
  </si>
  <si>
    <t>49.02.01, 49.02.02, 34.02.02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</si>
  <si>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49.02.01 «Физическая культура», 49.02.02 «Адаптивная физическая культура» (протокол № 12 от 14.12.2020)</t>
  </si>
  <si>
    <t>758404.02.01</t>
  </si>
  <si>
    <t>Лечебная физ. культура при заболеваниях дет. возраста: Уч.пос. / Т.В.Карасева.-М.:НИЦ ИНФРА-М,2023.-223 с.(П)</t>
  </si>
  <si>
    <t>ЛЕЧЕБНАЯ ФИЗИЧЕСКАЯ КУЛЬТУРА ПРИ ЗАБОЛЕВАНИЯХ ДЕТСКОГО ВОЗРАСТА</t>
  </si>
  <si>
    <t>978-5-16-016986-6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</si>
  <si>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49.02.01 «Физическая культура», 49.02.02 «Адаптивная физическая культура» (протокол № 11 от 09.11.2020)</t>
  </si>
  <si>
    <t>717627.05.01</t>
  </si>
  <si>
    <t>Лечебная физ. культура при заболеваниях дет. возраста: Уч.пос. / Т.В.Карасева.-М.:НИЦ ИНФРА-М,2024.-223 с.(ВО)(п)</t>
  </si>
  <si>
    <t>978-5-16-019328-1</t>
  </si>
  <si>
    <t>49.03.01, 49.03.02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</si>
  <si>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направлению подготовки 49.03.02 «Физическая культура для лиц с отклонениями в состоянии здоровья (адаптивная физическая культура)» (квалификация (степень) «бакалавр») (протокол № 8 от 22.06.2020)</t>
  </si>
  <si>
    <t>758403.03.01</t>
  </si>
  <si>
    <t>Лечебная физ. культура при терапевтич. заболеваниях: Уч.пос. / Т.В.Карасева.-М.:НИЦ ИНФРА-М,2023.-158 с.(П)</t>
  </si>
  <si>
    <t>ЛЕЧЕБНАЯ ФИЗИЧЕСКАЯ КУЛЬТУРА ПРИ ТЕРАПЕВТИЧЕСКИХ ЗАБОЛЕВАНИЯХ</t>
  </si>
  <si>
    <t>978-5-16-016985-9</t>
  </si>
  <si>
    <t>717631.03.01</t>
  </si>
  <si>
    <t>Лечебная физ. культура при терапевтич. заболеваниях: Уч.пос. / Т.В.Карасева-М.:НИЦ ИНФРА-М,2024.-156 с.(ВО)(П)</t>
  </si>
  <si>
    <t>978-5-16-018979-6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</si>
  <si>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направлениям подготовки 49.03.01 «Физическая культура» и 49.03.02 «Физическая культура для лиц с отклонениями в состоянии здоровья (адаптивная физическая культура)» (квалификация (степень) «бакалавр») (протокол № 8 от 22.06.2020)</t>
  </si>
  <si>
    <t>717630.03.01</t>
  </si>
  <si>
    <t>Лечебная физич. культ. при заболеваниях нерв. сис.: Уч.пос. / Т.В.Карасева.-М.:НИЦ ИНФРА-М,2023.-164 с.(ВО)(П)</t>
  </si>
  <si>
    <t>978-5-16-015591-3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</si>
  <si>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направлениям подготовки 49.03.01 «Физическая культура», 49.03.02 «Физическая культура для лиц с отклонениями в состоянии здоровья (адаптивная физическая культура)» (квалификация (степень) «бакалавр») (протокол №9 от 28.09.2020)</t>
  </si>
  <si>
    <t>757844.04.01</t>
  </si>
  <si>
    <t>Лечебная физическая культура при травмах: Уч.пос. / Т.В.Карасева - М.:НИЦ ИНФРА-М,2024 - 140 с.(СПО)(П)</t>
  </si>
  <si>
    <t>ЛЕЧЕБНАЯ ФИЗИЧЕСКАЯ КУЛЬТУРА ПРИ ТРАВМАХ</t>
  </si>
  <si>
    <t>978-5-16-016938-5</t>
  </si>
  <si>
    <t>717629.03.01</t>
  </si>
  <si>
    <t>Лечебная физическая культура при травмах: Уч.пос. / Т.В.Карасева.-М.:НИЦ ИНФРА-М,2023.-140 с.(ВО)(О)</t>
  </si>
  <si>
    <t>978-5-16-015590-6</t>
  </si>
  <si>
    <t>705675.05.01</t>
  </si>
  <si>
    <t>Лечебные грязи Крыма: Монография / В.Н.Любчик - М.:НИЦ ИНФРА-М,2023 - 144 с.(Науч.мысль)(О)</t>
  </si>
  <si>
    <t>ЛЕЧЕБНЫЕ ГРЯЗИ КРЫМА</t>
  </si>
  <si>
    <t>Любчик В.Н., Ежов В.В.</t>
  </si>
  <si>
    <t>Научная мысль (КрымФУ)</t>
  </si>
  <si>
    <t>978-5-16-016334-5</t>
  </si>
  <si>
    <t>771335.02.01</t>
  </si>
  <si>
    <t>Лечение пациентов с вентральной грыжей и ожирением / В.И.Белоконев.-М.:НИЦ ИНФРА-М,2023.-187 с.(П)</t>
  </si>
  <si>
    <t>ЛЕЧЕНИЕ ПАЦИЕНТОВ С ВЕНТРАЛЬНОЙ ГРЫЖЕЙ И ОЖИРЕНИЕМ</t>
  </si>
  <si>
    <t>Белоконев В.И., Пушкин С.Ю., Захаров В.П. и др.</t>
  </si>
  <si>
    <t>978-5-16-017766-3</t>
  </si>
  <si>
    <t>339900.05.01</t>
  </si>
  <si>
    <t>Лечение пациентов терапевтического профиля: Уч.пос. / В.Г.Лычев - М.:Форум, НИЦ ИНФРА-М,2022-400 с.(СПО)(П)</t>
  </si>
  <si>
    <t>ЛЕЧЕНИЕ ПАЦИЕНТОВ ТЕРАПЕВТИЧЕСКОГО ПРОФИЛЯ</t>
  </si>
  <si>
    <t>Лычев В.Г., Карманов В.К.</t>
  </si>
  <si>
    <t>СПО</t>
  </si>
  <si>
    <t>978-5-00091-618-6</t>
  </si>
  <si>
    <t>Рекомендовано в качестве учебного пособия для студентов учреждений среднего профессионального образования, обучающихся по специальности 31.02.01 «Лечебное дело»</t>
  </si>
  <si>
    <t>425950.09.01</t>
  </si>
  <si>
    <t>Лечение псих. забол. в период беремен. и лактации: Уч.пос./ Е.А.Ушкалова-М:НИЦ ИНФРА-М,2023-284с.(ВО) (п)</t>
  </si>
  <si>
    <t>ЛЕЧЕНИЕ ПСИХИЧЕСКИХ ЗАБОЛЕВАНИЙ В ПЕРИОД БЕРЕМЕННОСТИ И ЛАКТАЦИИ</t>
  </si>
  <si>
    <t>Ушкалова Е. А., Ушкалова А. В., Шифман Е. М.</t>
  </si>
  <si>
    <t>978-5-16-006600-4</t>
  </si>
  <si>
    <t>Российский университет дружбы народов</t>
  </si>
  <si>
    <t>653243.08.01</t>
  </si>
  <si>
    <t>Лимфедема нижних конечностей: диагност..: Уч.пос. / С.Е.Каторкин - 2изд.-М.:НИЦ ИНФРА-М,2023-110 с.(ВО)(о)</t>
  </si>
  <si>
    <t>ЛИМФЕДЕМА НИЖНИХ КОНЕЧНОСТЕЙ: ДИАГНОСТИКА И ЛЕЧЕНИЕ, ИЗД.2</t>
  </si>
  <si>
    <t>Каторкин С.Е., Мышенцев П.Н., Мельников М.А.</t>
  </si>
  <si>
    <t>978-5-16-018213-1</t>
  </si>
  <si>
    <t>31.05.01, 32.05.01</t>
  </si>
  <si>
    <t>Рекомендовано Центральным координационно-методическим советом федерального государственного бюджетного образовательного учреждения высшего образования «Самарский государственный медицинский университет» Министерства здравоохранения Российской Федерации</t>
  </si>
  <si>
    <t>0223</t>
  </si>
  <si>
    <t>653243.06.01</t>
  </si>
  <si>
    <t>Лимфедема нижних конечностей: диагност..: Уч.пос. / С.Е.Каторкин -М.:Форум, НИЦ ИНФРА-М,2022-103с(О)</t>
  </si>
  <si>
    <t>ЛИМФЕДЕМА НИЖНИХ КОНЕЧНОСТЕЙ: ДИАГНОСТИКА И ЛЕЧЕНИЕ</t>
  </si>
  <si>
    <t>Каторкин С.Е., Сушков С.А., Мышенцев П.Н. и др.</t>
  </si>
  <si>
    <t>978-5-00091-438-0</t>
  </si>
  <si>
    <t>798333.01.01</t>
  </si>
  <si>
    <t>Липосомальные формы ноотропных лекарств. средств: Моногр. / Ю.А.Полковникова-М.:НИЦ ИНФРА-М,2023.-193 с.(о)</t>
  </si>
  <si>
    <t>ЛИПОСОМАЛЬНЫЕ ФОРМЫ НООТРОПНЫХ ЛЕКАРСТВЕННЫХ СРЕДСТВ</t>
  </si>
  <si>
    <t>Полковникова Ю.А.</t>
  </si>
  <si>
    <t>978-5-16-018288-9</t>
  </si>
  <si>
    <t>33.05.01, 33.06.01, 33.08.01, 33.08.02, 33.08.03</t>
  </si>
  <si>
    <t>Воронежский государственный университет</t>
  </si>
  <si>
    <t>Июнь, 2023</t>
  </si>
  <si>
    <t>466350.10.01</t>
  </si>
  <si>
    <t>Малая хирургия: руководство: Практ. рук. / В.И.Маслов - М.:НИЦ ИНФРА-М,2023 - 248 с.(О)</t>
  </si>
  <si>
    <t>МАЛАЯ ХИРУРГИЯ: РУКОВОДСТВО</t>
  </si>
  <si>
    <t>Маслов В. И., Шапкин Ю. Г.</t>
  </si>
  <si>
    <t>978-5-16-009730-5</t>
  </si>
  <si>
    <t>31.02.01, 31.05.01, 31.05.02, 31.06.01, 31.07.01, 31.08.67</t>
  </si>
  <si>
    <t>Саратовский государственный медицинский университет им. В.И. Разумовского Минздрава России</t>
  </si>
  <si>
    <t>775278.01.01</t>
  </si>
  <si>
    <t>Малоинвазивная ургентная панкреатобилиарная хирургия...: Моногр. / Ю.С.Винник.-М.:НИЦ ИНФРА-М,2022.-276 с.(О)</t>
  </si>
  <si>
    <t>МАЛОИНВАЗИВНАЯ УРГЕНТНАЯ ПАНКРЕАТОБИЛИАРНАЯ ХИРУРГИЯ У ПАЦИЕНТОВ СТАРШИХ ВОЗРАСТНЫХ ГРУПП</t>
  </si>
  <si>
    <t>Винник Ю.С., Миллер С.В., Теплякова О.В.</t>
  </si>
  <si>
    <t>978-5-16-017611-6</t>
  </si>
  <si>
    <t>31.05.01, 31.06.01, 31.07.01, 31.08.67</t>
  </si>
  <si>
    <t>Красноярский государственный медицинский университет им. профессора В.Ф. Войно-Ясенецкого</t>
  </si>
  <si>
    <t>699847.02.01</t>
  </si>
  <si>
    <t>Медико-биологические основы безопасности: Уч. / А.И.Лобанов - М.:НИЦ ИНФРА-М,2021 - 357 с.(ВО)(П)</t>
  </si>
  <si>
    <t>МЕДИКО-БИОЛОГИЧЕСКИЕ ОСНОВЫ БЕЗОПАСНОСТИ</t>
  </si>
  <si>
    <t>Лобанов А.И.</t>
  </si>
  <si>
    <t>978-5-16-014840-3</t>
  </si>
  <si>
    <t>21.02.10, 20.03.01</t>
  </si>
  <si>
    <t>Допущено Министерством Российской Федерации по делам гражданской обороны, чрезвычайным ситуациям и ликвидации последствий стихийных бедствий в качестве учебника для слушателей, студентов и курсантов образовательных учреждений МЧС России</t>
  </si>
  <si>
    <t>Академия гражданской защиты МЧС России</t>
  </si>
  <si>
    <t>742682.01.01</t>
  </si>
  <si>
    <t>Медико-биологические основы безопасности: Уч. / А.И.Лобанов-М.:НИЦ ИНФРА-М,2021.-357 с..-(СПО)(П)</t>
  </si>
  <si>
    <t>978-5-16-016445-8</t>
  </si>
  <si>
    <t>699848.07.01</t>
  </si>
  <si>
    <t>Медицина катастроф (вопросы орг.лечебно-эвакуац...: Уч. / П.В.Авитисов - М.:НИЦ ИНФРА-М,2024 - 365 с.(ВО)</t>
  </si>
  <si>
    <t>МЕДИЦИНА КАТАСТРОФ (ВОПРОСЫ ОРГАНИЗАЦИИ ЛЕЧЕБНО-ЭВАКУАЦИОННОГО ОБЕСПЕЧЕНИЯ НАСЕЛЕНИЯ В ЧРЕЗВЫЧАЙНЫХ СИТУАЦИЯХ МИРНОГО ВРЕМЕНИ)</t>
  </si>
  <si>
    <t>Авитисов П.В., Лобанов А.И., Золотухин А.В. и др.</t>
  </si>
  <si>
    <t>978-5-16-018983-3</t>
  </si>
  <si>
    <t>31.02.01, 20.03.01, 20.04.01, 31.05.01, 32.05.01, 34.03.01</t>
  </si>
  <si>
    <t>Допущено Министерством Российской Федерации по делам гражданской обороны, чрезвычайным ситуациям и ликвидации последствий стихийных бедствий в качестве учебника для курсантов, студентов и слушателей образовательных учреждений МЧС России</t>
  </si>
  <si>
    <t>713079.01.01</t>
  </si>
  <si>
    <t>Медицинская антропология: Уч.пос. / Д.В.Михель-М.:НИЦ ИНФРА-М,2021.-338 с.(ВО: Бакалавриат)(П)</t>
  </si>
  <si>
    <t>МЕДИЦИНСКАЯ АНТРОПОЛОГИЯ</t>
  </si>
  <si>
    <t>Михель Д.В.</t>
  </si>
  <si>
    <t>978-5-16-015975-1</t>
  </si>
  <si>
    <t>31.05.01, 31.05.02, 31.05.03, 44.03.05, 51.03.01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</si>
  <si>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гуманитарным и медицинским направлениям подготовки (квалификация (степень) «бакалавр») (протокол № 6 от 16.06.2021)</t>
  </si>
  <si>
    <t>Российская академия народного хозяйства и государственной службы при Президенте РФ</t>
  </si>
  <si>
    <t>712503.05.01</t>
  </si>
  <si>
    <t>Медицинская антропология: Уч.пос. / О.В.Калмин - М.:НИЦ ИНФРА-М,2023 - 411 с.(ВО: Специалитет)(П)</t>
  </si>
  <si>
    <t>Калмин О.В., Галкина Т.Н.</t>
  </si>
  <si>
    <t>978-5-16-015414-5</t>
  </si>
  <si>
    <t>31.05.01, 31.05.02, 31.05.03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</si>
  <si>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укрупненной группе специальностей и направлений 31.05.00 «Клиническая медицина» (протокол № 3 от 16.09.2019)</t>
  </si>
  <si>
    <t>Пензенский государственный университет</t>
  </si>
  <si>
    <t>476700.08.01</t>
  </si>
  <si>
    <t>Медицинская биология: Энц. справ. / О.Ю.Смирнов - 2 изд. - М.:НИЦ ИНФРА-М,2022 - 607 с.-(П)</t>
  </si>
  <si>
    <t>МЕДИЦИНСКАЯ БИОЛОГИЯ: ЭНЦИКЛОПЕДИЧЕСКИЙ СПРАВОЧНИК, ИЗД.2</t>
  </si>
  <si>
    <t>Смирнов О.Ю.</t>
  </si>
  <si>
    <t>Справочники ИНФРА-М</t>
  </si>
  <si>
    <t>978-5-16-016122-8</t>
  </si>
  <si>
    <t>Справочник</t>
  </si>
  <si>
    <t>31.05.01, 31.05.02, 32.05.01, 31.05.03, 33.05.01, 30.05.01, 30.05.02, 34.03.01</t>
  </si>
  <si>
    <t>Сумский государственный университет</t>
  </si>
  <si>
    <t>0221</t>
  </si>
  <si>
    <t>476700.05.01</t>
  </si>
  <si>
    <t>Медицинская биология: Энц. справ. / О.Ю.Смирнов - М.:Форум, НИЦ ИНФРА-М, 2020-608с.(ВО)(П)</t>
  </si>
  <si>
    <t>МЕДИЦИНСКАЯ БИОЛОГИЯ</t>
  </si>
  <si>
    <t>Смирнов  О.Ю.</t>
  </si>
  <si>
    <t>978-5-00091-177-8</t>
  </si>
  <si>
    <t>440350.07.01</t>
  </si>
  <si>
    <t>Медицинская и биологическая физика.Практ.: Уч.пос. / В.Г.Лещенко-М:НИЦ ИНФРА-М;Мн:Нов.знание,2023-334с. (П)</t>
  </si>
  <si>
    <t>МЕДИЦИНСКАЯ И БИОЛОГИЧЕСКАЯ ФИЗИКА. ПРАКТИКУМ</t>
  </si>
  <si>
    <t>Лещенко В. Г., Ильич Г. К., Инсарова Н. И., Лещенко В. Г.</t>
  </si>
  <si>
    <t>978-5-16-006664-6</t>
  </si>
  <si>
    <t>31.02.01, 03.03.01, 06.03.01, 03.04.01, 04.04.01, 06.04.01, 31.05.01, 31.05.02, 32.05.01, 31.05.03, 33.05.01, 34.03.01</t>
  </si>
  <si>
    <t>778503.02.01</t>
  </si>
  <si>
    <t>Медицинская оценка климатических условий Евпаторийского курорта / В.Н.Любчик-М.:НИЦ ИНФРА-М,2022.-213 с.(О)</t>
  </si>
  <si>
    <t>МЕДИЦИНСКАЯ ОЦЕНКА КЛИМАТИЧЕСКИХ УСЛОВИЙ ЕВПАТОРИЙСКОГО КУРОРТА</t>
  </si>
  <si>
    <t>Любчик В.Н.</t>
  </si>
  <si>
    <t>978-5-16-017762-5</t>
  </si>
  <si>
    <t>05.04.02, 49.04.02, 31.05.01, 49.03.03</t>
  </si>
  <si>
    <t>758704.02.01</t>
  </si>
  <si>
    <t>Медицинская паразитология: Уч.пос. / М.Д.Новак и др.-М.:НИЦ ИНФРА-М,2023.-342 с.(ВО: Специалитет)(П)</t>
  </si>
  <si>
    <t>МЕДИЦИНСКАЯ ПАРАЗИТОЛОГИЯ</t>
  </si>
  <si>
    <t>Новак М.Д., Новак А.И., Енгашев С.В.</t>
  </si>
  <si>
    <t>978-5-16-017315-3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</si>
  <si>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специальностям 31.05.01 «Лечебное дело», 31.05.02 «Педиатрия», 32.05.01 «Медико-профилактическое дело» (квалификация «врач-лечебник, врач-педиатр, врач по общей гигиене, по эпидемиологии») (протокол № 4 от 13.04.2022)</t>
  </si>
  <si>
    <t>Рязанский государственный медицинский университет им. академика И.П. Павлова</t>
  </si>
  <si>
    <t>699849.05.01</t>
  </si>
  <si>
    <t>Медицинское обеспеч. ликвидации чрезвычайных...: Уч. / А.И.Лобанов - М.:НИЦ ИНФРА-М,2024-298с(ВО)(П)</t>
  </si>
  <si>
    <t>МЕДИЦИНСКОЕ ОБЕСПЕЧЕНИЕ ЛИКВИДАЦИИ ЧРЕЗВЫЧАЙНЫХ СИТУАЦИЙ</t>
  </si>
  <si>
    <t>978-5-16-014843-4</t>
  </si>
  <si>
    <t>31.02.01, 20.03.01, 32.04.01, 31.05.01, 31.05.02, 32.05.01, 20.05.01, 34.03.01</t>
  </si>
  <si>
    <t>786123.01.01</t>
  </si>
  <si>
    <t>Медицинское страхование: Уч. / А.П.Архипов-М.:НИЦ ИНФРА-М,2023.-231 с.(ВО)(п)</t>
  </si>
  <si>
    <t>МЕДИЦИНСКОЕ СТРАХОВАНИЕ</t>
  </si>
  <si>
    <t>Архипов А.П.</t>
  </si>
  <si>
    <t>978-5-16-018216-2</t>
  </si>
  <si>
    <t>32.04.01, 34.03.01, 39.03.02</t>
  </si>
  <si>
    <t>Московский государственный институт международных отношений (университет) Министерства иностранных дел Российской Федерации</t>
  </si>
  <si>
    <t>Июль, 2023</t>
  </si>
  <si>
    <t>239900.06.01</t>
  </si>
  <si>
    <t>Медицинское страхование: Уч.пос. / О.А.Цыганова - М.: НИЦ ИНФРА-М, 2023 - 176 с. (ВО)(О)</t>
  </si>
  <si>
    <t>Цыганова О.А., Ившин И.В.</t>
  </si>
  <si>
    <t>978-5-16-009226-3</t>
  </si>
  <si>
    <t>31.02.01, 31.05.01, 31.05.02, 31.05.03, 31.06.01, 31.07.01, 31.08.01, 31.08.02, 31.08.03, 31.08.04, 31.08.05, 31.08.06, 31.08.07, 31.08.08, 31.08.09, 31.08.10, 31.08.11, 31.08.12, 31.08.13, 31.08.14, 31.08.15, 31.08.16, 31.08.17, 31.08.18, 31.08.19, 31.08.20, 31.08.21, 31.08.22, 31.08.23, 31.08.24, 31.08.25, 31.08.26, 31.08.28, 31.08.29, 31.08.30, 31.08.31, 31.08.32, 31.08.33, 31.08.34, 31.08.35, 31.08.36, 31.08.37, 31.08.38, 31.08.39, 31.08.40, 31.08.41, 31.08.42, 31.08.43, 31.08.44, 31.08.45, 31.08.46, 31.08.47, 31.08.48, 31.08.49, 31.08.50, 31.08.51, 31.08.52, 31.08.53, 31.08.54, 31.08.55, 31.08.56, 31.08.57, 31.08.58, 31.08.59, 31.08.60, 31.08.61, 31.08.62, 31.08.63, 31.08.64, 31.08.65, 31.08.66, 31.08.67, 31.08.68, 31.08.69, 31.08.70, 31.08.71, 31.08.72, 31.08.73, 31.08.74, 31.08.75, 31.08.76, 31.08.77, 38.03.01</t>
  </si>
  <si>
    <t>Рекомендовано в качестве учебного пособия для системы последипломного образования специалистов в рамках основной образовательной программы послевузовского профессионального образования по специальности "Управление сестринской деятельностью»</t>
  </si>
  <si>
    <t>Северный государственный медицинский университет</t>
  </si>
  <si>
    <t>705676.04.01</t>
  </si>
  <si>
    <t>Медицинское тепловидение: Уч.пос. / Е.Е.Ачкасов и др.-М.:НИЦ ИНФРА-М,2023.-218 с..-(ВО: Специалитет)(П)</t>
  </si>
  <si>
    <t>МЕДИЦИНСКОЕ ТЕПЛОВИДЕНИЕ</t>
  </si>
  <si>
    <t>Ачкасов Е.Е., Воловик М.Г., Долгов И.М. и др.</t>
  </si>
  <si>
    <t>978-5-16-015293-6</t>
  </si>
  <si>
    <t>Рекомендовано Координационным советом по области образования «Здравоохранение и медицинские науки» в качестве учебного пособия для использования в образовательных учреждениях, реализующих программы дополнительного профессионального образования врачей. Регистрационный номер рецензии: 582 ЭКУ от 17 января 2019 г.</t>
  </si>
  <si>
    <t>635926.06.01</t>
  </si>
  <si>
    <t>Метаболический синдром — переедание физиолог. пищи.: Моногр. / В.Н.Титов-М.:НИЦ ИНФРА-М,2024-310с(о)</t>
  </si>
  <si>
    <t>МЕТАБОЛИЧЕСКИЙ СИНДРОМ — ПЕРЕЕДАНИЕ ФИЗИОЛОГИЧЕСКОЙ ПИЩИ. ВИСЦЕРАЛЬНЫЕ ЖИРОВЫЕ КЛЕТКИ, НЕЭТЕРИФИЦИРОВАННЫЕ СВОБОДНЫЕ ЖИРНЫЕ КИСЛОТЫ (ФИЛОГЕНЕЗ, ПАТОГЕНЕЗ, ДИАГНОСТИКА, ПРОФИЛАКТИКА)</t>
  </si>
  <si>
    <t>978-5-16-019385-4</t>
  </si>
  <si>
    <t>466150.11.01</t>
  </si>
  <si>
    <t>Минеральные и костные нарушения при...: Моногр. / Милованова Л.Ю. - М.:НИЦ ИНФРА-М,2024 - 107 с.(О)</t>
  </si>
  <si>
    <t>МИНЕРАЛЬНЫЕ И КОСТНЫЕ НАРУШЕНИЯ ПРИ ХРОНИЧЕСКОЙ БОЛЕЗНИ ПОЧЕК: ПРОФИЛАКТИКА И ЛЕЧЕНИЕ</t>
  </si>
  <si>
    <t>Милованова Л.Ю., Милованов Ю.С., Козловская Л.В.</t>
  </si>
  <si>
    <t>978-5-16-009728-2</t>
  </si>
  <si>
    <t>684669.03.01</t>
  </si>
  <si>
    <t>Молекулярно-генетические основы онкогенеза: Уч.пос. / А.А.Майборода-М.:НИЦ ИНФРА-М,2023.-125 с.(ВО)(П)</t>
  </si>
  <si>
    <t>МОЛЕКУЛЯРНО-ГЕНЕТИЧЕСКИЕ ОСНОВЫ ОНКОГЕНЕЗА</t>
  </si>
  <si>
    <t>Майборода А.А.</t>
  </si>
  <si>
    <t>978-5-16-014731-4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</si>
  <si>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направлениям подготовки 31.05.01 «Лечебное дело», 31.05.02 «Педиатрия», 30.05.01 «Медицинская биохимия» (квалификация «врач (врач-педиатр) общей практики», «врач-биохимик») (протокол № 15 от 14.10.2019)</t>
  </si>
  <si>
    <t>Иркутский государственный медицинский университет</t>
  </si>
  <si>
    <t>229600.09.01</t>
  </si>
  <si>
    <t>Морфология и физиология сенсорных систем...: Уч.пос./ Ю.Н.Самко-М.:НИЦ ИНФРА-М,2023-158 с.(ВО)(О)</t>
  </si>
  <si>
    <t>МОРФОЛОГИЯ И ФИЗИОЛОГИЯ СЕНСОРНЫХ СИСТЕМ И ВЫСШЕЙ НЕРВНОЙ ДЕЯТЕЛЬНОСТИ</t>
  </si>
  <si>
    <t>978-5-16-009052-8</t>
  </si>
  <si>
    <t>06.03.01, 06.04.01, 37.05.01, 31.05.01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</si>
  <si>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направлению подготовки 31.05.01 «Лечебное дело» (квалификация «врач общей практики») (протокол № 12 от 24.06.2019)</t>
  </si>
  <si>
    <t>149190.08.01</t>
  </si>
  <si>
    <t>Мужское сексуальное здоровье...: Уч.пос. / Л.Г.Агасаров-М.:Вуз. уч., ИНФРА-М,2024.-64 с.(О)</t>
  </si>
  <si>
    <t>МУЖСКОЕ СЕКСУАЛЬНОЕ ЗДОРОВЬЕ И СПОСОБЫ ЕГО ВОССТАНОВЛЕНИЯ</t>
  </si>
  <si>
    <t>Агасаров Л. Г., Гурцкой Р. А.</t>
  </si>
  <si>
    <t>978-5-9558-0196-4</t>
  </si>
  <si>
    <t>31.02.02, 31.05.01, 31.08.23</t>
  </si>
  <si>
    <t>Рекомендовано УМО по медицинскому и фармацевтическому образованию вузов России в качестве учебного пособия для системы послевузовского и дополнительного профессионального образования врачей</t>
  </si>
  <si>
    <t>209900.09.01</t>
  </si>
  <si>
    <t>Нарушения движений глаз  в невролог.практ.: Уч.пос. / В.Н.Григорьева-2 изд.-М.:НИЦ ИНФРА-М,2023-163с.(ВО(П)</t>
  </si>
  <si>
    <t>НАРУШЕНИЯ ДВИЖЕНИЙ ГЛАЗ  В НЕВРОЛОГИЧЕСКОЙ ПРАКТИКЕ, ИЗД.2</t>
  </si>
  <si>
    <t>Григорьева В. Н.</t>
  </si>
  <si>
    <t>978-5-16-013127-6</t>
  </si>
  <si>
    <t>31.05.01, 31.05.02, 31.08.42, 34.03.01</t>
  </si>
  <si>
    <t>Рекомендовано в качестве учебного пособия для студентов высших учебных заведений, обучающихся по направлениям подготовки 31.05.01 «Лечебное дело» (квалификация «врач общей практики»), 31.08.42 «Неврология» (квалификация «врач-невролог»)</t>
  </si>
  <si>
    <t>Приволжский исследовательский медицинский университет</t>
  </si>
  <si>
    <t>0218</t>
  </si>
  <si>
    <t>657346.06.01</t>
  </si>
  <si>
    <t>Нейропсихология: Уч.пос. / А.П.Бизюк - М.:НИЦ ИНФРА-М,2024 - 539 с.-(ВО: Специалитет)(П)</t>
  </si>
  <si>
    <t>НЕЙРОПСИХОЛОГИЯ</t>
  </si>
  <si>
    <t>Бизюк А.П.</t>
  </si>
  <si>
    <t>978-5-16-015501-2</t>
  </si>
  <si>
    <t>37.03.01, 37.05.01, 31.08.22, 44.03.02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</si>
  <si>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психологическим и медицинским специальностям (протокол № 1 от 20.01.2021)</t>
  </si>
  <si>
    <t>Первый Санкт-Петербургский государственный медицинский университет им. академика И.П.Павлова</t>
  </si>
  <si>
    <t>704979.06.01</t>
  </si>
  <si>
    <t>Немедикаментозные методы реабилитации: цветотерапия..: Моногр./ В.Н.Любчик.- М:ИНФРА-М,2024-182с(О)</t>
  </si>
  <si>
    <t>НЕМЕДИКАМЕНТОЗНЫЕ МЕТОДЫ РЕАБИЛИТАЦИИ: ЦВЕТОТЕРАПИЯ, МУЗЫКОТЕРАПИЯ, АЭРОФИТОТЕРАПИЯ С ЭФИРНЫМИ МАСЛАМИ РАСТЕНИЙ</t>
  </si>
  <si>
    <t>Любчик В.Н., Мирошниченко Н.В., Голубова Т.Ф.</t>
  </si>
  <si>
    <t>978-5-16-016728-2</t>
  </si>
  <si>
    <t>31.02.01, 31.05.01, 31.05.02</t>
  </si>
  <si>
    <t>708997.05.01</t>
  </si>
  <si>
    <t>Неотложная помощь детям на догоспит.этапе: Уч.пос. / Л.А.Строзенко - 2 изд.-М.:НИЦ ИНФРА-М,2023-172с(П)</t>
  </si>
  <si>
    <t>НЕОТЛОЖНАЯ ПОМОЩЬ ДЕТЯМ НА ДОГОСПИТАЛЬНОМ ЭТАПЕ, ИЗД.2</t>
  </si>
  <si>
    <t>Строзенко Л.А., Лобанов Ю.Ф., Иванов И.В. и др.</t>
  </si>
  <si>
    <t>978-5-16-015511-1</t>
  </si>
  <si>
    <t>31.05.02</t>
  </si>
  <si>
    <t>Рекомендовано Межрегиональным учебно-методическим советом профессионального образования для использования в учебном процессе студентами высших учебных заведений, обучающихся по направлению подготовки 31.05.02 «Педиатрия» (квалификация «Врач-педиатр общей практики») (протокол № 12 от 24.06.2019)</t>
  </si>
  <si>
    <t>0219</t>
  </si>
  <si>
    <t>694869.06.01</t>
  </si>
  <si>
    <t>Неотложная помощь на догоспитальном этапе: Уч.пос. / Лычев В.Г. - М.:НИЦ ИНФРА-М,2024 - 160 с.(ВО: Спец.)(П)</t>
  </si>
  <si>
    <t>НЕОТЛОЖНАЯ ПОМОЩЬ НА ДОГОСПИТАЛЬНОМ ЭТАПЕ</t>
  </si>
  <si>
    <t>Лычев В.Г., Бабушкин И.Е., Андриенко А.В. и др.</t>
  </si>
  <si>
    <t>978-5-16-016112-9</t>
  </si>
  <si>
    <t>Рекомендовано Учебно-методическим советом ВО в качестве учебного пособия для студентов высших учебных заведений, обучающихся по направлению подготовки 31.05.01 «Лечебное дело» (квалификация «врач общей практики»)</t>
  </si>
  <si>
    <t>288400.07.01</t>
  </si>
  <si>
    <t>Неотложная помощь при заболев. внутрен.орг.: Уч.пос. / Под ред. Ахмедова В.А. - М.:НИЦ ИНФРА-М,2023-137с(О)</t>
  </si>
  <si>
    <t>НЕОТЛОЖНАЯ ПОМОЩЬ ПРИ ЗАБОЛЕВАНИЯХ ВНУТРЕННИХ ОРГАНОВ</t>
  </si>
  <si>
    <t>Ахмедов В.А., Совалкин В.И., Викторова И.А. и др.</t>
  </si>
  <si>
    <t>978-5-16-013521-2</t>
  </si>
  <si>
    <t>Рекомендовано Учебно-методическим объединением по медицинскому и фармацевтическому образованию вузов России в качестве учебного пособия для студентов, обучающихся по специальности 31.05.01 «Лечебное дело»</t>
  </si>
  <si>
    <t>Омский государственный медицинский университет</t>
  </si>
  <si>
    <t>787966.04.01</t>
  </si>
  <si>
    <t>Неотложная помощь при кровотечениях в акушерстве: Моногр. / М.И.Неймарк-М.:НИЦ ИНФРА-М,2023.-207 с.(п)</t>
  </si>
  <si>
    <t>НЕОТЛОЖНАЯ ПОМОЩЬ ПРИ КРОВОТЕЧЕНИЯХ В АКУШЕРСТВЕ</t>
  </si>
  <si>
    <t>Неймарк М.И., Николаева М.Г.</t>
  </si>
  <si>
    <t>Научная мысль - АГМУ</t>
  </si>
  <si>
    <t>978-5-16-017973-5</t>
  </si>
  <si>
    <t>31.05.01, 31.05.02, 32.05.01, 30.05.03, 31.06.01, 31.07.01, 31.08.01</t>
  </si>
  <si>
    <t>433450.13.01</t>
  </si>
  <si>
    <t>Нестероидные противовоспалительные препар.: Практ. реком./Л.И. Дятчина - НИЦ ИНФРА-М, 2022-77с.+вкл. (О к/ф)</t>
  </si>
  <si>
    <t>НЕСТЕРОИДНЫЕ ПРОТИВОВОСПАЛИТЕЛЬНЫЕ ПРЕПАРАТЫ</t>
  </si>
  <si>
    <t>Дятчина Л. И., Ханов А. Г.</t>
  </si>
  <si>
    <t>978-5-16-006680-6</t>
  </si>
  <si>
    <t>31.05.01, 33.05.01</t>
  </si>
  <si>
    <t>Ростовский государственный медицинский университет</t>
  </si>
  <si>
    <t>794840.01.01</t>
  </si>
  <si>
    <t>Обмен железа при ВИЧ-ассоциированных заболеваниях легких.../ Е.А.Бородулина-М.:НИЦ ИНФРА-М,2023.-155 с.(о)</t>
  </si>
  <si>
    <t>ОБМЕН ЖЕЛЕЗА ПРИ ВИЧ-АССОЦИИРОВАННЫХ ЗАБОЛЕВАНИЯХ ЛЕГКИХ - ДИССЕМИНИРОВАННОМ ТУБЕРКУЛЕЗЕ И ПНЕВМОЦИСТНОЙ ПНЕВМОНИИ</t>
  </si>
  <si>
    <t>Бородулина Е.А., Яковлева Е.В., Бородулин Б.Е.</t>
  </si>
  <si>
    <t>978-5-16-018227-8</t>
  </si>
  <si>
    <t>Май, 2023</t>
  </si>
  <si>
    <t>684820.02.01</t>
  </si>
  <si>
    <t>Обтурационная опухолевая толстокишечная непроход.: Моногр./ А.В.Пугаев-М.:НИЦ ИНФРА-М,2023-202 с.(П)</t>
  </si>
  <si>
    <t>ОБТУРАЦИОННАЯ ОПУХОЛЕВАЯ ТОЛСТОКИШЕЧНАЯ НЕПРОХОДИМОСТЬ</t>
  </si>
  <si>
    <t>Пугаев А.В., Ачкасов Е.Е.</t>
  </si>
  <si>
    <t>978-5-16-014222-7</t>
  </si>
  <si>
    <t>708977.06.01</t>
  </si>
  <si>
    <t>Общая физиотерапия: Уч.мет.пос. / Т.В.Кулишова - 2 изд. - М.:НИЦ ИНФРА-М,2024 - 131 с.(ВО)(П)</t>
  </si>
  <si>
    <t>ОБЩАЯ ФИЗИОТЕРАПИЯ, ИЗД.2</t>
  </si>
  <si>
    <t>Кулишова Т.В., Табашникова Н.А., Каркавина А.Н.</t>
  </si>
  <si>
    <t>978-5-16-015324-7</t>
  </si>
  <si>
    <t>Учебно-методическое пособие</t>
  </si>
  <si>
    <t>31.05.01, 31.05.02, 31.05.03, 31.06.01, 31.08.50</t>
  </si>
  <si>
    <t>Рекомендовано Межрегиональным учебно-методическим советом профессионального образования для использования в учебном процессе в образовательных учреждениях, реализующих основные профессиональные образовательные программы высшего образования по направлениям подготовки специалитета 31.05.01 «Лечебное дело», 31.05.02 «Педиатрия», 32.05.01 «Медико-профилактическое дело», 31.05.03 «Стоматология» (протокол № 12 от 24.06.2019)</t>
  </si>
  <si>
    <t>785315.01.01</t>
  </si>
  <si>
    <t>Общая хирургия. Учебные игры: Уч.пос. / Под ред. Оскреткова В.И.-М.:НИЦ ИНФРА-М,2023.-196 с.(ВО)(п)</t>
  </si>
  <si>
    <t>ОБЩАЯ ХИРУРГИЯ. УЧЕБНЫЕ ИГРЫ</t>
  </si>
  <si>
    <t>Оскретков В.И., Цеймах Е.А., Масликова С.А. и др.</t>
  </si>
  <si>
    <t>978-5-16-017939-1</t>
  </si>
  <si>
    <t>31.05.01, 31.05.02, 32.05.01, 31.05.03</t>
  </si>
  <si>
    <t>078120.09.01</t>
  </si>
  <si>
    <t>Общая хирургия: уч.пос. / Т.Д.Селезнева-М.:ИЦ РИОР,2023.-155 с..-(Карманное учебное пособие)(о)</t>
  </si>
  <si>
    <t>ОБЩАЯ ХИРУРГИЯ</t>
  </si>
  <si>
    <t>Селезнева Т. Д.</t>
  </si>
  <si>
    <t>Карманное учебное пособие</t>
  </si>
  <si>
    <t>5-369-00066-2</t>
  </si>
  <si>
    <t>730639.04.01</t>
  </si>
  <si>
    <t>Общественное здоровье и здравоохранение: Уч. / Н.М.Агарков - М.:НИЦ ИНФРА-М,2024 - 560 с(СПО)(П)</t>
  </si>
  <si>
    <t>ОБЩЕСТВЕННОЕ ЗДОРОВЬЕ И ЗДРАВООХРАНЕНИЕ</t>
  </si>
  <si>
    <t>Агарков Н.М., Гонтарев С.Н., Зубарева Н.Н. и др.</t>
  </si>
  <si>
    <t>978-5-16-015947-8</t>
  </si>
  <si>
    <t>31.02.01, 31.02.02, 31.02.06, 34.02.01, 34.02.02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</si>
  <si>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укрупненным группам специальностей 31.02.00 «Клиническая  медицина», 32.02.00 «Науки о здоровье и профилактическая медицина» (протокол № 8 от 22.06.2020)</t>
  </si>
  <si>
    <t>Юго-Западный государственный университет</t>
  </si>
  <si>
    <t>22</t>
  </si>
  <si>
    <t>708234.06.01</t>
  </si>
  <si>
    <t>Общественное здоровье и здравоохранение: Уч. / Н.М.Агарков.-М.:НИЦ ИНФРА-М,2024.-560 с.(СПО)(п)</t>
  </si>
  <si>
    <t>978-5-16-015317-9</t>
  </si>
  <si>
    <t>31.02.01, 31.05.01, 31.05.02, 32.05.01, 34.03.01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</si>
  <si>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укрупненной группе специальностей и направлений 31.05.00 «Клиническая медицина» (протокол № 8 от 29.04.2019)</t>
  </si>
  <si>
    <t>711046.04.01</t>
  </si>
  <si>
    <t>Оздоровительное и спорт. плавание для людей.../ Под ред. Булгаковой Н.Ж.-М.:НИЦ ИНФРА-М,2023.-313 с(О)</t>
  </si>
  <si>
    <t>ОЗДОРОВИТЕЛЬНОЕ И СПОРТИВНОЕ ПЛАВАНИЕ ДЛЯ ЛЮДЕЙ С ОГРАНИЧЕННЫМИ ВОЗМОЖНОСТЯМИ</t>
  </si>
  <si>
    <t>Булгакова Н.Ж., Морозов С.Н., Никитина С.М. и др.</t>
  </si>
  <si>
    <t>978-5-16-015465-7</t>
  </si>
  <si>
    <t>49.04.02, 49.03.02</t>
  </si>
  <si>
    <t>Российский университет спорта «ГЦОЛИФК»</t>
  </si>
  <si>
    <t>304500.06.01</t>
  </si>
  <si>
    <t>Оказание неотложной помощи в терапии: Уч.пос. / Г.Д.Тобулток-М.:НИЦ ИНФРА-М,2024.-400 с.(СПО)(п)</t>
  </si>
  <si>
    <t>ОКАЗАНИЕ НЕОТЛОЖНОЙ ПОМОЩИ В ТЕРАПИИ</t>
  </si>
  <si>
    <t>Тобулток Г.Д., Иванова Н.А.</t>
  </si>
  <si>
    <t>978-5-16-016860-9</t>
  </si>
  <si>
    <t>31.02.01, 34.02.01</t>
  </si>
  <si>
    <t>Рязанский медицинский колледж</t>
  </si>
  <si>
    <t>682691.03.01</t>
  </si>
  <si>
    <t>Организация помощи по направл. физ. и реаб. мед.: Практ. рук./Под ред. Пономаренко Г.Н.-М.:НИЦ ИНФРА-М,2022-234с.(П)</t>
  </si>
  <si>
    <t>ОРГАНИЗАЦИЯ ПОМОЩИ ПО НАПРАВЛЕНИЯМ ФИЗИЧЕСКОЙ И РЕАБИЛИТАЦИОННОЙ МЕДИЦИНЫ</t>
  </si>
  <si>
    <t>Пономаренко Г.Н., Лавриненко И.А., Исаева А.С. и др.</t>
  </si>
  <si>
    <t>978-5-16-014520-4</t>
  </si>
  <si>
    <t>34.02.01, 31.05.01, 31.05.02, 49.03.03</t>
  </si>
  <si>
    <t>Федеральный научный центр реабилитации инвалидов им. Г.А. Альбрехта</t>
  </si>
  <si>
    <t>401900.08.01</t>
  </si>
  <si>
    <t>Организация, оценка эффект. и результат. оказ..: Моногр./М.И.Гадаборшев- М.:НИЦ ИНФРА-М,2023-424с(п)</t>
  </si>
  <si>
    <t>ОРГАНИЗАЦИЯ, ОЦЕНКА ЭФФЕКТИВНОСТИ И РЕЗУЛЬТАТИВНОСТИ ОКАЗАНИЯ МЕДИЦИНСКОЙ ПОМОЩИ</t>
  </si>
  <si>
    <t>Гадаборшев М. И., Левкевич М. М., Рудлицкая Н. В.</t>
  </si>
  <si>
    <t>978-5-16-006315-7</t>
  </si>
  <si>
    <t>31.02.01, 31.05.01, 31.05.02, 32.05.01</t>
  </si>
  <si>
    <t>446450.09.01</t>
  </si>
  <si>
    <t>Осложнения фармакотерапии: Практ.рук. / В.В.Косарев -  М.: НИЦ ИНФРА-М, 2023-188с.(Клинич. практ.)(о)</t>
  </si>
  <si>
    <t>ОСЛОЖНЕНИЯ ФАРМАКОТЕРАПИИ</t>
  </si>
  <si>
    <t>978-5-16-009003-0</t>
  </si>
  <si>
    <t>Профессиональное образование / ВО - Кадры высшей квалификации / Ординатура</t>
  </si>
  <si>
    <t>31.02.01, 33.05.01</t>
  </si>
  <si>
    <t>640122.05.01</t>
  </si>
  <si>
    <t>Основы гистологии: Уч. / В.В.Яглов - М.:НИЦ ИНФРА-М,2023 - 634 с.-(ВО: Специалитет)(П)</t>
  </si>
  <si>
    <t>ОСНОВЫ ГИСТОЛОГИИ</t>
  </si>
  <si>
    <t>Яглов В.В., Яглова Н.В.</t>
  </si>
  <si>
    <t>978-5-16-012281-6</t>
  </si>
  <si>
    <t>31.02.01, 06.03.01, 31.05.01, 31.05.02, 32.05.01</t>
  </si>
  <si>
    <t>Рекомендовано в качестве учебника для студентов высших учебных заведений, обучающихся по направлениям подготовки 31.05.01 «Лечебное дело», 31.05.02 «Педиатрия», 32.05.01 «Медико-профилактическое дело» (квалификация «врач (врач-педиатр) общей практики; врач по общей гигиене, по эпидемиологии»)</t>
  </si>
  <si>
    <t>Научно-исследовательский институт морфологии человека</t>
  </si>
  <si>
    <t>412250.10.01</t>
  </si>
  <si>
    <t>Основы клинического диагноза при забол. внутр. орг.:Уч.пос./В.А.Ахмедов-М:НИЦ ИНФРА-М,2024-173с.(ВО) (п)</t>
  </si>
  <si>
    <t>ОСНОВЫ КЛИНИЧЕСКОГО ДИАГНОЗА ПРИ ЗАБОЛЕВАНИЯХ ВНУТРЕННИХ ОРГАНОВ</t>
  </si>
  <si>
    <t>Ахмедов В. А., Винжегина В. А., Галютин С. Г., Ахмедов В. А.</t>
  </si>
  <si>
    <t>978-5-16-006461-1</t>
  </si>
  <si>
    <t>Рекомендовано Учебно-методическим объединением по медицинскому и фармацевтическому образованию вузов России в качестве учебного пособия для студентов, обучающихся по специальности 06010I 65 - Лечебное дело</t>
  </si>
  <si>
    <t>694872.05.01</t>
  </si>
  <si>
    <t>Основы клинической ревматологии: Уч.пос. / Под ред. Лычева В.Г.-М.:НИЦ ИНФРА-М,2023-196 с(ВО)(П)</t>
  </si>
  <si>
    <t>ОСНОВЫ КЛИНИЧЕСКОЙ РЕВМАТОЛОГИИ</t>
  </si>
  <si>
    <t>978-5-16-016125-9</t>
  </si>
  <si>
    <t>31.05.01, 31.05.03</t>
  </si>
  <si>
    <t>742746.01.01</t>
  </si>
  <si>
    <t>Основы патологии: Уч. / А.И.Тюкавин-М.:НИЦ ИНФРА-М,2022.-344 с.(СПО)(П)</t>
  </si>
  <si>
    <t>ОСНОВЫ ПАТОЛОГИИ</t>
  </si>
  <si>
    <t>Тюкавин А.И.</t>
  </si>
  <si>
    <t>978-5-16-016832-6</t>
  </si>
  <si>
    <t>33.02.01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</si>
  <si>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33.02.01 «Фармация» (протокол № 6 от 16.06.2021)</t>
  </si>
  <si>
    <t>Санкт-Петербургский государственный химико-фармацевтический университет</t>
  </si>
  <si>
    <t>657345.05.01</t>
  </si>
  <si>
    <t>Основы патопсихологии: Уч. / А.П.Бизюк - 2 изд. - М.:НИЦ ИНФРА-М,2023 - 660 с.-(ВО)(п)</t>
  </si>
  <si>
    <t>ОСНОВЫ ПАТОПСИХОЛОГИИ, ИЗД.2</t>
  </si>
  <si>
    <t>978-5-16-018602-3</t>
  </si>
  <si>
    <t>ГУМАНИТАРНЫЕ НАУКИ. РЕЛИГИЯ. ИСКУССТВО</t>
  </si>
  <si>
    <t>Психология</t>
  </si>
  <si>
    <t>37.03.01, 44.03.01, 44.03.05, 44.03.04, 44.03.02, 44.03.03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</si>
  <si>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 по укрупненным группам специальностей и направлений подготовки 37.03.00 «Психологические науки», 44.03.00 «Образование и педагогические науки» (квалификация (степень) «бакалавр») (протокол № 8 от 22.06.2020)</t>
  </si>
  <si>
    <t>749782.03.01</t>
  </si>
  <si>
    <t>Основы патопсихологии: Уч. / А.П.Бизюк, - 2 изд.-М.:НИЦ ИНФРА-М,2024.-660 с.(ВО: Специалитет)(П)</t>
  </si>
  <si>
    <t>978-5-16-016701-5</t>
  </si>
  <si>
    <t>37.05.02, 37.05.01, 44.05.01, 40.05.03, 31.05.01, 31.06.01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</si>
  <si>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укрупненным направлениям подготовки 37.05.00 «Психологические науки» (квалификация (степень) «клинический психолог») (протокол № 8 от 22.06.2020)</t>
  </si>
  <si>
    <t>ПО5</t>
  </si>
  <si>
    <t>670834.03.01</t>
  </si>
  <si>
    <t>Основы профилактики в дерматовенерологии: Уч.пос. / М.Н.Гаджимурадов-М.:НИЦ ИНФРА-М,2023.-96с(О)</t>
  </si>
  <si>
    <t>ОСНОВЫ ПРОФИЛАКТИКИ В ДЕРМАТОВЕНЕРОЛОГИИ</t>
  </si>
  <si>
    <t>Гаджимурадов М.Н.</t>
  </si>
  <si>
    <t>978-5-16-013514-4</t>
  </si>
  <si>
    <t>31.02.01, 31.05.01, 31.05.02, 32.05.01, 31.05.03, 33.05.01, 31.08.32</t>
  </si>
  <si>
    <t>Рекомендовано в качестве учебного пособия для студентов высших учебных заведений, обучающихся по специальности 32.05.01 «Медико-профилактическое дело» (квалификация «врач по общей гигиене»)</t>
  </si>
  <si>
    <t>736724.01.01</t>
  </si>
  <si>
    <t>Основы социальной медицины: Уч.пос. / Г.П.Артюнина - М.:НИЦ ИНФРА-М,2020 - 359 с.-(СПО)(П)</t>
  </si>
  <si>
    <t>ОСНОВЫ СОЦИАЛЬНОЙ МЕДИЦИНЫ</t>
  </si>
  <si>
    <t>Артюнина Г.П., Иванова Н.В.</t>
  </si>
  <si>
    <t>978-5-16-016264-5</t>
  </si>
  <si>
    <t>39.02.01, 31.02.01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</si>
  <si>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39.02.01 «Социальная работа», 31.02.01 «Лечебное дело», 34.02.01 «Сестринское дело» (протокол № 3 от 17.02.2020)</t>
  </si>
  <si>
    <t>Псковский государственный  университет</t>
  </si>
  <si>
    <t>437300.06.01</t>
  </si>
  <si>
    <t>Основы социальной медицины: Уч.пос. / Г.П.Артюнина - М.:Форум, НИЦ ИНФРА-М,2023 - 360 с.(ВО)(П)</t>
  </si>
  <si>
    <t>АртюнинаГ.П., ИвановаН.В.</t>
  </si>
  <si>
    <t>978-5-00091-132-7</t>
  </si>
  <si>
    <t>39.02.01, 31.02.01, 37.03.01, 31.05.01, 34.03.01, 39.03.02</t>
  </si>
  <si>
    <t>Допущено Учебно-методическим объединением по направлениям медицинского и гуманитарного образования Министерства образования Российской Федерации в качестве учебного пособия для студентов медицинских и гуманитарных вузов</t>
  </si>
  <si>
    <t>242400.09.01</t>
  </si>
  <si>
    <t>Основы токсикологии: Уч.пос. / П.П.Кукин и др. - М.:НИЦ ИНФРА-М,2023 - 280 с.-(ВО)(П))</t>
  </si>
  <si>
    <t>ОСНОВЫ ТОКСИКОЛОГИИ</t>
  </si>
  <si>
    <t>Кукин П.П., Пономарев Н.Л., Таранцева К.Р. и др.</t>
  </si>
  <si>
    <t>978-5-16-009260-7</t>
  </si>
  <si>
    <t>31.02.01, 20.03.01, 20.04.01</t>
  </si>
  <si>
    <t>Допущено Учебно-методическим объединением вузов по университетскому политехническому образованию в качестве учебного пособия для студентов высших учебных заведений, обучающихся по направлению подготовки 20.03.01 «Техносферная безопасность»</t>
  </si>
  <si>
    <t>415850.11.01</t>
  </si>
  <si>
    <t>Основы физиологии и анатомии человека..: Уч.пос. / С.В.Степанова - М.: НИЦ ИНФРА-М,2024-205с.(ВО)(п)</t>
  </si>
  <si>
    <t>ОСНОВЫ ФИЗИОЛОГИИ И АНАТОМИИ ЧЕЛОВЕКА. ПРОФЕССИОНАЛЬНЫЕ ЗАБОЛЕВАНИЯ</t>
  </si>
  <si>
    <t>Степанова С. В., Гармонов С. Ю.</t>
  </si>
  <si>
    <t>978-5-16-005326-4</t>
  </si>
  <si>
    <t>31.02.01, 20.03.01, 20.04.01, 44.03.05</t>
  </si>
  <si>
    <t>Рекомендовано Федеральным государственным бюджетным образовательным учреждением высшего профессионального образования «Московский государственный университет природообустройства» к использованию в качестве учебного пособия для студентов, обучающихся</t>
  </si>
  <si>
    <t>239800.07.01</t>
  </si>
  <si>
    <t>Острые заболевания яичка у детей: Практ. рук. / Ю.Н. Болотов - М.: НИЦ ИНФРА-М, 2022. - 107 с.(О)</t>
  </si>
  <si>
    <t>ОСТРЫЕ ЗАБОЛЕВАНИЯ ЯИЧКА У ДЕТЕЙ</t>
  </si>
  <si>
    <t>Болотов Ю. Н., Минаев С. В.</t>
  </si>
  <si>
    <t>978-5-16-009225-6</t>
  </si>
  <si>
    <t>31.05.02, 31.06.01, 31.07.01, 31.08.15, 31.08.19</t>
  </si>
  <si>
    <t>694252.02.01</t>
  </si>
  <si>
    <t>Острый аппендицит: клиника, диагностика, лечение:Уч.пос. / Под ред. Ачкасова Е.Е.-М.:НИЦ ИНФРА-М,2023-207с.:цв.ил.(ВО)</t>
  </si>
  <si>
    <t>ОСТРЫЙ АППЕНДИЦИТ: КЛИНИКА, ДИАГНОСТИКА, ЛЕЧЕНИЕ</t>
  </si>
  <si>
    <t>Ачкасов Е.Е., Забелин М.В., Посудневский В.И. и др.</t>
  </si>
  <si>
    <t>978-5-16-014643-0</t>
  </si>
  <si>
    <t>31.05.01, 31.06.01, 31.08.67</t>
  </si>
  <si>
    <t>Рекомендовано Координационным советом по области образования «Здравоохранение и медицинские науки» в качестве учебного пособия для использования в образовательных учреждениях, реализующих основные профессиональные образовательные программы высшего образования по направлениям подготовки специалитета 31.05.01 «Лечебное дело», 31.05.02 «Педиатрия», 32.05.01 «Медико-профилактическое дело», 31.05.03 «Стоматология»</t>
  </si>
  <si>
    <t>684819.03.01</t>
  </si>
  <si>
    <t>Острый аппендицит: Монография / А.В.Пугаев - М.:НИЦ ИНФРА-М,2023 - 191 с.-(Науч.мысль)(П)</t>
  </si>
  <si>
    <t>ОСТРЫЙ АППЕНДИЦИТ</t>
  </si>
  <si>
    <t>978-5-16-014341-5</t>
  </si>
  <si>
    <t>696455.01.01</t>
  </si>
  <si>
    <t>Острый панкреатит: клиника, диагностика...: Уч.пос. / Е.Е.Ачкасов - М.:НИЦ ИНФРА-М,2020-269 с.(ВО(П)</t>
  </si>
  <si>
    <t>ОСТРЫЙ ПАНКРЕАТИТ: КЛИНИКА, ДИАГНОСТИКА, ЛЕЧЕНИЕ</t>
  </si>
  <si>
    <t>Ачкасов Е.Е., Пугаев А.В., Забелин М.В. и др.</t>
  </si>
  <si>
    <t>978-5-16-014641-6</t>
  </si>
  <si>
    <t>31.05.01, 31.06.01, 31.08.28, 31.08.67</t>
  </si>
  <si>
    <t>684815.03.01</t>
  </si>
  <si>
    <t>Острый панкреатит: Монография / А.В.Пугаев - М.:НИЦ ИНФРА-М,2023.-263 с..-(Науч.мысль)(П)</t>
  </si>
  <si>
    <t>ОСТРЫЙ ПАНКРЕАТИТ</t>
  </si>
  <si>
    <t>978-5-16-014261-6</t>
  </si>
  <si>
    <t>632395.03.01</t>
  </si>
  <si>
    <t>Охрана репродукт.здоровья и план.семьи: Уч. / Под ред. Сивочаловой О.В.-М.:НИЦ ИНФРА-М,2023-328с.(П)</t>
  </si>
  <si>
    <t>ОХРАНА РЕПРОДУКТИВНОГО ЗДОРОВЬЯ И ПЛАНИРОВАНИЕ СЕМЬИ</t>
  </si>
  <si>
    <t>Сивочалова О.В., Линева О.И., Фесенко М.А. и др.</t>
  </si>
  <si>
    <t>978-5-16-011989-2</t>
  </si>
  <si>
    <t>31.02.01, 31.02.02</t>
  </si>
  <si>
    <t>Рекомендовано в качестве учебника для учебных заведений, реализующих программу среднего профессионального образования по специальностям 31.02.01 «Лечебное дело», 31.02.02 «Акушерское дело», 32.02.01 «Медико-профилактическое дело»</t>
  </si>
  <si>
    <t>Научно-исследовательский институт медицины труда</t>
  </si>
  <si>
    <t>313900.08.01</t>
  </si>
  <si>
    <t>Патологическая физиология: Уч. / С.О.Берсудский - М.:НИЦ ИНФРА-М,2023-639с.(ВО:Специалитет)(П)</t>
  </si>
  <si>
    <t>ПАТОЛОГИЧЕСКАЯ ФИЗИОЛОГИЯ</t>
  </si>
  <si>
    <t>Берсудский С.О., Маслякова Г.Н., Моргунова В.М. и др.</t>
  </si>
  <si>
    <t>978-5-16-010361-7</t>
  </si>
  <si>
    <t>31.05.03, 31.08.72, 31.08.73, 31.08.74, 31.08.75, 31.08.76</t>
  </si>
  <si>
    <t>Рекомендовано ФГБОУ ВО «Первый Московский государственный медицинский университет им. И.М. Сеченова» в качестве учебника для студентов образовательных учреждений высшего профессионального образования, обучающихся по направлению подготовки 31.05.03 «Стоматология» по дисциплине «Патофизиология-патология головы и шеи»</t>
  </si>
  <si>
    <t>734728.06.01</t>
  </si>
  <si>
    <t>Патология: Уч. / Под ред. Тюкавина А.И. - М.:НИЦ ИНФРА-М,2023 - 844 с.-(ВО: Специалитет)(П)</t>
  </si>
  <si>
    <t>ПАТОЛОГИЯ</t>
  </si>
  <si>
    <t>Тюкавин А.И., Васильев А.Г., Власов Т.Д. и др.</t>
  </si>
  <si>
    <t>978-5-16-016260-7</t>
  </si>
  <si>
    <t>32.02.01, 33.02.01, 34.02.01, 31.02.03, 31.05.01, 33.05.01, 34.03.01, 49.03.02</t>
  </si>
  <si>
    <t>706977.02.01</t>
  </si>
  <si>
    <t>Патоморфологический и молекулярно-биологич. анализ... / Т.М.Черданцева.-М.:НИЦ ИНФРА-М,2023-230с(П)</t>
  </si>
  <si>
    <t>ПАТОМОРФОЛОГИЧЕСКИЙ И МОЛЕКУЛЯРНО-БИОЛОГИЧЕСКИЙ АНАЛИЗ ПОЧЕЧНО-КЛЕТОЧНОГО РАКА. ДИАГНОСТИКА И ПРОГНОЗ</t>
  </si>
  <si>
    <t>Черданцева Т.М., Климачев В.В., Бобров И.П. и др.</t>
  </si>
  <si>
    <t>978-5-16-015251-6</t>
  </si>
  <si>
    <t>31.05.01, 31.06.01, 31.07.01, 31.08.57</t>
  </si>
  <si>
    <t>632405.05.01</t>
  </si>
  <si>
    <t>Патопсихология  общественной безопасности: Уч.пос. / Б.Н.Алмазов-М.:НИЦ ИНФРА-М,2023.-219 с-(ВО)(П)</t>
  </si>
  <si>
    <t>ПАТОПСИХОЛОГИЯ  ОБЩЕСТВЕННОЙ БЕЗОПАСНОСТИ</t>
  </si>
  <si>
    <t>Алмазов Б.Н.</t>
  </si>
  <si>
    <t>978-5-16-012148-2</t>
  </si>
  <si>
    <t>40.02.02, 37.03.01, 40.03.01, 40.04.01, 37.05.01, 40.05.01, 44.03.05</t>
  </si>
  <si>
    <t>Рекомендовано в качестве учебного пособия для студентов высших учебных заведений, обучающихся по направлениям подготовки 40.05.01 «Правовое обеспечение национальной безопасности», 40.05.02 «Правоохранительная деятельность», 40.05.03 «Судебная экспертиза» (квалификация «юрист», «судебный эксперт»)</t>
  </si>
  <si>
    <t>Уральский государственный юридический университет имени В.Ф. Яковлева</t>
  </si>
  <si>
    <t>713843.04.01</t>
  </si>
  <si>
    <t>Педиатрия: именные симптомы и синдромы: Рук. для врачей / Балыкова Л.А.-М.:НИЦ ИНФРА-М,2021.-1088с.(ВО)(П)</t>
  </si>
  <si>
    <t>ПЕДИАТРИЯ: ИМЕННЫЕ СИМПТОМЫ И СИНДРОМЫ</t>
  </si>
  <si>
    <t>Акашкина Е.Ю., Балашова Е.А., Балыкова Л.А. и др.</t>
  </si>
  <si>
    <t>978-5-16-015563-0</t>
  </si>
  <si>
    <t>Руководство для врачей</t>
  </si>
  <si>
    <t>31.02.02, 31.05.01, 31.05.02, 32.05.01</t>
  </si>
  <si>
    <t>Национальный исследовательский Мордовский государственный университет им. Н.П. Огарева</t>
  </si>
  <si>
    <t>487550.11.01</t>
  </si>
  <si>
    <t>Первичная доврачебная мед. помощь: Уч.пос. / В.Г.Лычев - М.:Форум, НИЦ ИНФРА-М,2023 - 288 с.(СПО)(П)</t>
  </si>
  <si>
    <t>ПЕРВИЧНАЯ ДОВРАЧЕБНАЯ МЕДИЦИНСКАЯ ПОМОЩЬ</t>
  </si>
  <si>
    <t>978-5-00091-754-1</t>
  </si>
  <si>
    <t>31.02.01, 31.02.02, 32.02.01, 31.02.05, 31.02.06, 33.02.01, 34.02.01, 34.02.02</t>
  </si>
  <si>
    <t>791862.01.01</t>
  </si>
  <si>
    <t>Повреждения опорно-двигат. аппарата от перегрузк...: Многр. / О.С.Васильев.-М.:НИЦ ИНФРА-М,2023.-299 с..</t>
  </si>
  <si>
    <t>ПОВРЕЖДЕНИЯ ОПОРНО-ДВИГАТЕЛЬНОГО АППАРАТА ОТ ПЕРЕГРУЗКИ В БАЛЕТНОЙ И СПОРТИВНОЙ МЕДИЦИНЕ</t>
  </si>
  <si>
    <t>Васильев О.С., Ачкасов Е.Е., Левушкин С.П.</t>
  </si>
  <si>
    <t>978-5-16-018247-6</t>
  </si>
  <si>
    <t>49.04.01, 49.04.03, 31.05.01, 31.06.01, 49.06.01, 31.07.01, 49.07.01, 31.08.66</t>
  </si>
  <si>
    <t>Центральная государственная медицинская академия</t>
  </si>
  <si>
    <t>657636.05.01</t>
  </si>
  <si>
    <t>Поликлиническая терапия: Уч.мет.пос. 5 курс. /  Т.Т.Карманова - М.:Форум,НИЦ ИНФРА-М,2023 - 623с.(П)</t>
  </si>
  <si>
    <t>ПОЛИКЛИНИЧЕСКАЯ ТЕРАПИЯ:УЧЕБНО-МЕТОДИЧЕСКОЙ ПОСОБИЕ ДЛЯ САМОСТОЯТЕЛЬНОЙ РАБОТЫ СТУДЕНТОВ 5 КУРСА ЛЕЧЕБНОГО ФАКУЛЬТЕТА</t>
  </si>
  <si>
    <t>Карманова Т.Т., Бабушкин И.Е., Лычев В.Г.</t>
  </si>
  <si>
    <t>978-5-00091-446-5</t>
  </si>
  <si>
    <t>Рекомендовано Координационным советом по области образования «Здравоохранение и медицинские науки» в качестве учебно-методического пособия для использования в образовательных учреждениях, реализующих программы высшего образования по специальности 31.05.01 «Лечебное дело» по дисциплине «Поликлиническая терапия»</t>
  </si>
  <si>
    <t>657637.03.01</t>
  </si>
  <si>
    <t>Поликлиническая терапия: Уч.мет.пос. 6 курс /  Т.Т. Карманова и др.- М.:ФОРУМ, ИНФРА-М,2023-628 с.(П)</t>
  </si>
  <si>
    <t>ПОЛИКЛИНИЧЕСКАЯ ТЕРАПИЯ: УЧЕБНО-МЕТОДИЧЕСКОЕ ПОСОБИЕ ДЛЯ САМОСТОЯТЕЛЬНОЙ РАБОТЫ СТУДЕНТОВ 6 КУРСА ЛЕЧЕБНОГО ФАКУЛЬТЕТА</t>
  </si>
  <si>
    <t>978-5-00091-445-8</t>
  </si>
  <si>
    <t>Рекомендовано Координационным советом по области образования «Здравоохранение и медицинские науки» в качестве учебно-методического пособия для высшего образования по специальности 31.05.01 «Лечебное дело» по дисциплине «Поликлиническая терапия»</t>
  </si>
  <si>
    <t>632541.03.01</t>
  </si>
  <si>
    <t>Преобразование измерительных сигналов: Уч. / С.В.Нефедов-М.:КУРС, НИЦ ИНФРА-М,2023.-224 с.(ВО)(п)</t>
  </si>
  <si>
    <t>ПРЕОБРАЗОВАНИЕ ИЗМЕРИТЕЛЬНЫХ СИГНАЛОВ</t>
  </si>
  <si>
    <t>Нефедов С.В., Тарасенко А.П., Чернова В.М.</t>
  </si>
  <si>
    <t>978-5-906923-41-7</t>
  </si>
  <si>
    <t>Энергетика. Промышленность</t>
  </si>
  <si>
    <t>12.03.01</t>
  </si>
  <si>
    <t>Московский политехнический университет</t>
  </si>
  <si>
    <t>436950.05.01</t>
  </si>
  <si>
    <t>Приборостроение. Введение в специальность: Уч. пос./ Б.Ю. Каплан. - М.: ИНФРА-М, 2023. - 112 с. (ВО) (о)</t>
  </si>
  <si>
    <t>ПРИБОРОСТРОЕНИЕ. ВВЕДЕНИЕ В СПЕЦИАЛЬНОСТЬ</t>
  </si>
  <si>
    <t>Каплан Б. Ю.</t>
  </si>
  <si>
    <t>978-5-16-006719-3</t>
  </si>
  <si>
    <t>12.03.01, 12.04.01</t>
  </si>
  <si>
    <t>Рекомендовано Учебно-методическим объединением вузов Российской Федерации по образованию в области приборостроения и оптотехники для студентов высших учебных заведений, обучающихся по направлению подготовки бакалавриата 200100 - Приборостроение</t>
  </si>
  <si>
    <t>Московский институт электронной техники</t>
  </si>
  <si>
    <t>776547.02.01</t>
  </si>
  <si>
    <t>Применение ядерных и радиац. технологий в медицине: Уч. / Ю.Н.Анохин-М.:НИЦ ИНФРА-М,2024.-233 с.(ВО)(П)</t>
  </si>
  <si>
    <t>ПРИМЕНЕНИЕ ЯДЕРНЫХ И РАДИАЦИОННЫХ ТЕХНОЛОГИЙ В МЕДИЦИНЕ</t>
  </si>
  <si>
    <t>Анохин Ю.Н.</t>
  </si>
  <si>
    <t>Высшее образование: Магистратура</t>
  </si>
  <si>
    <t>978-5-16-017824-0</t>
  </si>
  <si>
    <t>Профессиональное образование / ВО - Магистратура</t>
  </si>
  <si>
    <t>03.04.02, 31.05.01, 30.05.02</t>
  </si>
  <si>
    <t>Техническая академия Росатома</t>
  </si>
  <si>
    <t>167450.09.01</t>
  </si>
  <si>
    <t>Принятие роли матери: клинико-психолог. анализ: Моногр. / Т.Д. Василенко - М.: Форум, 2024-176с. (о)</t>
  </si>
  <si>
    <t>ПРИНЯТИЕ РОЛИ МАТЕРИ: КЛИНИКО-ПСИХОЛОГИЧЕСКИЙ АНАЛИЗ</t>
  </si>
  <si>
    <t>Василенко Т. Д., Земзюлина И. н.</t>
  </si>
  <si>
    <t>978-5-91134-592-1</t>
  </si>
  <si>
    <t>37.00.00, 37.03.01, 37.04.01, 37.04.02, 37.05.01, 37.06.01, 37.03.02</t>
  </si>
  <si>
    <t>Курский государственный медицинский университет</t>
  </si>
  <si>
    <t>447350.04.01</t>
  </si>
  <si>
    <t>Природные факторы оздоровления: Уч.пос. / М.Г.Ясовеев-М.:НИЦ ИНФРА-М,2023.-259 с.(ВО: Бакалавриат)(п)</t>
  </si>
  <si>
    <t>ПРИРОДНЫЕ ФАКТОРЫ ОЗДОРОВЛЕНИЯ</t>
  </si>
  <si>
    <t>Ясовеев М. Г., Досин Ю. М.</t>
  </si>
  <si>
    <t>978-5-16-009044-3</t>
  </si>
  <si>
    <t>05.03.01, 05.03.02, 05.03.06, 20.03.02, 05.04.01, 05.04.02, 05.04.06, 31.05.01</t>
  </si>
  <si>
    <t>Белорусский государственный университет</t>
  </si>
  <si>
    <t>765988.03.01</t>
  </si>
  <si>
    <t>Прогноз послеоперационного течения мочекаменной болезни / С.С.Дунаевская.-М.:НИЦ ИНФРА-М,2024.-199 с.(О)</t>
  </si>
  <si>
    <t>ПРОГНОЗ ПОСЛЕОПЕРАЦИОННОГО ТЕЧЕНИЯ МОЧЕКАМЕННОЙ БОЛЕЗНИ</t>
  </si>
  <si>
    <t>Бережной А.Г., Дунаевская С.С., Винник Ю.С.</t>
  </si>
  <si>
    <t>978-5-16-017604-8</t>
  </si>
  <si>
    <t>31.05.01, 31.05.02, 32.05.01, 31.06.01, 31.07.01, 31.08.68</t>
  </si>
  <si>
    <t>465650.07.01</t>
  </si>
  <si>
    <t>Производственная санитария и гигиена труда: Уч. / Б.М.Азизов - М.:НИЦ ИНФРА-М,2023 - 433 с.-(ВО)(п)</t>
  </si>
  <si>
    <t>ПРОИЗВОДСТВЕННАЯ САНИТАРИЯ И ГИГИЕНА ТРУДА</t>
  </si>
  <si>
    <t>Азизов Б. М., Чепегин И. В.</t>
  </si>
  <si>
    <t>978-5-16-006011-8</t>
  </si>
  <si>
    <t>20.03.01</t>
  </si>
  <si>
    <t>Рекомендовано Федеральным государственным бюджетным образовательным учреждением высшего профессионального образования «Московский государственный технический университет имени Н.Э. Баумана» в качестве учебника для студентов высших учебных заведений, обучающихся по направлению подготовки 20.03.01 «Техносферная безопасность»</t>
  </si>
  <si>
    <t>Казанский национальный исследовательский технологический университет</t>
  </si>
  <si>
    <t>413200.11.01</t>
  </si>
  <si>
    <t>Производственная санитария и гигиена труда: Уч.пос. / Т.Г.Феоктистова - М:ИНФРА-М,2023-382с.(ВО)(п)</t>
  </si>
  <si>
    <t>Феоктистова Т.Г., Феоктистова О.Г., Наумова Т.В.</t>
  </si>
  <si>
    <t>978-5-16-018584-2</t>
  </si>
  <si>
    <t>18.02.09, 31.02.01, 32.08.03, 19.01.18, 18.02.12, 18.02.13, 18.01.33</t>
  </si>
  <si>
    <t>Рекомендовано Учебно-методическим объединением вузов по образованию в области эксплуатации авиационной и космической техники для межвузовского использования</t>
  </si>
  <si>
    <t>Московский государственный технический университет гражданской авиации</t>
  </si>
  <si>
    <t>680302.02.01</t>
  </si>
  <si>
    <t>Протеинурия в клинической практике: Моногр. / Е.С.Крутиков - М.:НИЦ ИНФРА-М,2022 - 139 с.-(Науч.мысль (КрымФУ))(О)</t>
  </si>
  <si>
    <t>ПРОТЕИНУРИЯ В КЛИНИЧЕСКОЙ ПРАКТИКЕ</t>
  </si>
  <si>
    <t>Крутиков Е.С., Кошукова Г.Н., Польская Л.В. и др.</t>
  </si>
  <si>
    <t>978-5-16-017544-7</t>
  </si>
  <si>
    <t>12.03.04, 31.05.01, 31.05.02</t>
  </si>
  <si>
    <t>632296.08.01</t>
  </si>
  <si>
    <t>Профессиональная нейросенсорная тугоухость: Моногр./ С.А.Бабанов-М.:Вуз. уч., НИЦ ИНФРА-М,2023.-98 с.(О)</t>
  </si>
  <si>
    <t>ПРОФЕССИОНАЛЬНАЯ НЕЙРОСЕНСОРНАЯ ТУГОУХОСТЬ</t>
  </si>
  <si>
    <t>Бабанов С.А., Лотков В.С., Вакурова Н.В. и др.</t>
  </si>
  <si>
    <t>978-5-9558-0501-6</t>
  </si>
  <si>
    <t>775860.01.01</t>
  </si>
  <si>
    <t>Профессиональная реабилитация лиц с инвалидностью...: Моногр. / Е.М.Старобина-М.:НИЦ ИНФРА-М,2022.-235 с.(О)</t>
  </si>
  <si>
    <t>ПРОФЕССИОНАЛЬНАЯ РЕАБИЛИТАЦИЯ ЛИЦ С ИНВАЛИДНОСТЬЮ:  СОСТОЯНИЕ И НАПРАВЛЕНИЯ РАЗВИТИЯ</t>
  </si>
  <si>
    <t>Старобина Е.М., Рябоконь А.Г., Гордиевская Е.О.</t>
  </si>
  <si>
    <t>978-5-16-017614-7</t>
  </si>
  <si>
    <t>37.04.01, 39.04.02, 31.05.01, 31.06.01, 31.08.41, 31.08.44</t>
  </si>
  <si>
    <t>144850.09.01</t>
  </si>
  <si>
    <t>Профессиональные болезни: Уч. пос. / В.В. Косарев - М.: Вуз.уч.,2023 - 252 с. (п)</t>
  </si>
  <si>
    <t>ПРОФЕССИОНАЛЬНЫЕ БОЛЕЗНИ</t>
  </si>
  <si>
    <t>978-5-9558-0178-0</t>
  </si>
  <si>
    <t>31.02.01, 31.05.01, 32.05.01, 31.06.01, 31.07.01, 31.08.44, 34.03.01</t>
  </si>
  <si>
    <t>Рекомендовано Учебно-методическим объединением по медицинскому и фармацевтическому образованию вузов России в качестве учебного пособия для системы послевузовского профессионального образования врачей</t>
  </si>
  <si>
    <t>227800.08.01</t>
  </si>
  <si>
    <t>Профессиональные забол. нерв. системы: Практ. рук. /В.В. Косарев - М.: НИЦ ИНФРА-М, 2024-142с. (о)</t>
  </si>
  <si>
    <t>ПРОФЕССИОНАЛЬНЫЕ ЗАБОЛЕВАНИЯ НЕРВНОЙ СИСТЕМЫ</t>
  </si>
  <si>
    <t>978-5-16-009027-6</t>
  </si>
  <si>
    <t>414600.11.01</t>
  </si>
  <si>
    <t>Профессиональные заболев.мед.работников: Моногр. / В.В.Косарев - М.:НИЦ ИНФРА-М,2023 - 174 с.(Науч.мысль)(о)</t>
  </si>
  <si>
    <t>ПРОФЕССИОНАЛЬНЫЕ ЗАБОЛЕВАНИЯ МЕДИЦИНСКИХ РАБОТНИКОВ</t>
  </si>
  <si>
    <t>Косарев В.В., Бабанов С.А.</t>
  </si>
  <si>
    <t>978-5-16-006220-4</t>
  </si>
  <si>
    <t>403250.07.01</t>
  </si>
  <si>
    <t>Профессиональные заболевания органов дыхания: Уч.пос. / В.В.Косарев-М.:НИЦ ИНФРА-М,2023-112с.(ВО)(О)</t>
  </si>
  <si>
    <t>ПРОФЕССИОНАЛЬНЫЕ ЗАБОЛЕВАНИЯ ОРГАНОВ ДЫХАНИЯ</t>
  </si>
  <si>
    <t>978-5-16-006221-1</t>
  </si>
  <si>
    <t>31.02.01, 31.05.01, 31.06.01, 31.07.01, 31.08.44, 31.08.45</t>
  </si>
  <si>
    <t>Рекомендовано Учебно-методическим объединением по медицинскому и фармацевтическому образованию вузов России в качестве учебного пособия для студентов обучающихся по специальностям 060101 65 Лечебное дело 060103 65 Педиатрия 060105 060104 65 Медико-профилактическое дело</t>
  </si>
  <si>
    <t>688828.03.01</t>
  </si>
  <si>
    <t>Профилактика и лечение непроходимости пищевода после хим...:Уч.пос. / В.И.Белоконев-М.:НИЦ ИНФРА-М,2022-147с(П)</t>
  </si>
  <si>
    <t>ПРОФИЛАКТИКА И ЛЕЧЕНИЕ НЕПРОХОДИМОСТИ ПИЩЕВОДА ПОСЛЕ ХИМИЧЕСКИХ ОЖОГОВ КОРРОЗИВНЫМИ ЖИДКОСТЯМИ</t>
  </si>
  <si>
    <t>Белоконев В.И., Пушкин С.Ю., Никольский В.И. и др.</t>
  </si>
  <si>
    <t>978-5-16-014580-8</t>
  </si>
  <si>
    <t>665058.04.01</t>
  </si>
  <si>
    <t>Психология в медицине: Уч.пос. / Г.С.Абрамова - 2 изд. - М.:НИЦ ИНФРА-М,2023 - 273 с.-(ВО: Спец.)(П)</t>
  </si>
  <si>
    <t>ПСИХОЛОГИЯ В МЕДИЦИНЕ, ИЗД.2</t>
  </si>
  <si>
    <t>Абрамова Г.С., Юдчиц Ю.А.</t>
  </si>
  <si>
    <t>978-5-16-013836-7</t>
  </si>
  <si>
    <t>31.02.01, 37.05.01, 31.05.01, 31.05.02, 34.03.01</t>
  </si>
  <si>
    <t>Рекомендовано в качестве учебного пособия для студентов высших учебных заведений, обучающихся по направлениям подготовки 31.05.01 «Лечебное дело» (квалификация «врач общей практики»), 31.05.02 «Педиатрия» (квалификация  «врач-педиатр общей практики»), 37.05.01 «Клиническая психология» (квалификация «клинический психолог»)</t>
  </si>
  <si>
    <t>Брестский государственный университет имени А.С.Пушкина</t>
  </si>
  <si>
    <t>471900.06.01</t>
  </si>
  <si>
    <t>Психология и психопат. познав. деят.: Уч.пос. /Г.Н.Носачев -М.: Форум, НИЦ ИНФРА-М, 2023-240с(ВО)(О)</t>
  </si>
  <si>
    <t>ПСИХОЛОГИЯ И ПСИХОПАТОЛОГИЯ ПОЗНАВАТЕЛЬНОЙ ДЕЯТЕЛЬНОСТИ (ОСНОВНЫЕ СИМПТОМЫ И СИНДРОМЫ)</t>
  </si>
  <si>
    <t>Носачев Г.Н., Носачев И.Г.</t>
  </si>
  <si>
    <t>978-5-00091-609-4</t>
  </si>
  <si>
    <t>37.03.01, 37.05.01, 31.05.01</t>
  </si>
  <si>
    <t>Рекомендовано в качестве учебного пособия для студентов высших учебных заведений, обучающихся по направлению подготовки «Психология»</t>
  </si>
  <si>
    <t>Национальный медицинский исследовательский центр психиатрии и наркологии им. В.П. Сербского</t>
  </si>
  <si>
    <t>244500.06.01</t>
  </si>
  <si>
    <t>Радионуклидная диагностика с нейротропными..: Моногр. / В.Б.Сергиенко - ИНФРА-М,2023 - 112 с.(О)</t>
  </si>
  <si>
    <t>РАДИОНУКЛИДНАЯ ДИАГНОСТИКА С НЕЙРОТРОПНЫМИ РАДИОФАРМПРЕПАРАТАМИ</t>
  </si>
  <si>
    <t>Сергиенко В. Б., Аншелес А. А.</t>
  </si>
  <si>
    <t>978-5-16-009170-9</t>
  </si>
  <si>
    <t>244800.11.01</t>
  </si>
  <si>
    <t>Расстройства шизофренического спектра: Уч.пос. / Л.М.Барденштейн - М.:НИЦ ИНФРА-М,2024-112 с.(ВО)(О)</t>
  </si>
  <si>
    <t>РАССТРОЙСТВА ШИЗОФРЕНИЧЕСКОГО СПЕКТРА</t>
  </si>
  <si>
    <t>Барденштейн Л.М., Щербакова И.В., Алешкина Г.А.</t>
  </si>
  <si>
    <t>978-5-16-019031-0</t>
  </si>
  <si>
    <t>31.05.01, 34.03.01</t>
  </si>
  <si>
    <t>Рекомендовано к изданию Ученым советом ГБОУ ВПО «Московский государственный медико-стоматологический университет имени А.И. Евдокимова» Министерства здравоохранения РФ</t>
  </si>
  <si>
    <t>717653.02.01</t>
  </si>
  <si>
    <t>Реконструктивная хирургия опериров. желудка: Моногр. / Д.В.Ручкин - М.:НИЦ ИНФРА-М,2023 - 194 с.(О)</t>
  </si>
  <si>
    <t>РЕКОНСТРУКТИВНАЯ ХИРУРГИЯ ОПЕРИРОВАННОГО ЖЕЛУДКА</t>
  </si>
  <si>
    <t>Ручкин Д.В., Козлов В.А.</t>
  </si>
  <si>
    <t>978-5-16-015584-5</t>
  </si>
  <si>
    <t>Национальный медицинский исследовательский центр хирургии имени А.В. Вишневского Минздрава России.</t>
  </si>
  <si>
    <t>689678.03.01</t>
  </si>
  <si>
    <t>Сборник алгоритмов стоматолог. манипуляций к итог.гос. аттестации: Уч.пос. / К.А.Колесник-М.:НИЦ ИНФРА-М,2022-199с</t>
  </si>
  <si>
    <t>СБОРНИК АЛГОРИТМОВ СТОМАТОЛОГИЧЕСКИХ МАНИПУЛЯЦИЙ К ИТОГОВОЙ ГОСУДАРСТВЕННОЙ АТТЕСТАЦИИ</t>
  </si>
  <si>
    <t>Колесник К.А., Райда А.И., Каладзе Н.Н. и др.</t>
  </si>
  <si>
    <t>978-5-16-017327-6</t>
  </si>
  <si>
    <t>31.02.01, 31.02.05, 31.02.06, 31.05.01, 31.05.02, 32.05.01, 31.05.03</t>
  </si>
  <si>
    <t>Рекомендовано Межрегиональным учебно-методическим советом профессионального образования для использования в учебном процессе в качестве учебного пособия для студентов высших учебных заведений, обучающихся по специальности 31.05.03 Стоматология» (квалификация «врач-стоматолог») (протокол № 6 от 16.06.2021)</t>
  </si>
  <si>
    <t>372300.04.01</t>
  </si>
  <si>
    <t>Семиотика псих.заболеваний. Общая психопатол.: Уч.пос./ Г.Н.Носачев-Форум,НИЦ ИНФРА-М,2019-336с.(ВО)</t>
  </si>
  <si>
    <t>СЕМИОТИКА ПСИХИЧЕСКИХ ЗАБОЛЕВАНИЙ. ОБЩАЯ ПСИХОПАТОЛОГИЯ</t>
  </si>
  <si>
    <t>Носачев Г.Н., Романов Д.В., Носачев И.Г.</t>
  </si>
  <si>
    <t>978-5-00091-086-3</t>
  </si>
  <si>
    <t>Рекомендовано в качестве учебного пособия для студентов высших учебных заведений, обучающихся по направлению подготовки 31.05.01 «Лечебное дело» (квалификация (степень) «врач общей практики»)</t>
  </si>
  <si>
    <t>372300.07.01</t>
  </si>
  <si>
    <t>Семиотика психических заболеваний: Уч.пос. / Г.Н.Носачев - 2 изд.-М.:Форум, НИЦ ИНФРА-М,2023-420 с.(ВО)(П)</t>
  </si>
  <si>
    <t>СЕМИОТИКА ПСИХИЧЕСКИХ ЗАБОЛЕВАНИЙ. ОБЩАЯ ПСИХОПАТОЛОГИЯ, ИЗД.2</t>
  </si>
  <si>
    <t>978-5-00091-708-4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</si>
  <si>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медицинским и психологическим специальностям (протокол № 6 от 16.06.2021)</t>
  </si>
  <si>
    <t>0222</t>
  </si>
  <si>
    <t>100100.15.01</t>
  </si>
  <si>
    <t>Сестринское дело в терапии с курсом первич..: Уч.пос. / В.Г.Лычев - 3 изд.-Форум:ИНФРА-М, 2023-432с.(П)</t>
  </si>
  <si>
    <t>СЕСТРИНСКОЕ ДЕЛО В ТЕРАПИИ С КУРСОМ ПЕРВИЧНОЙ МЕДИЦИНСКОЙ ПОМОЩИ. РУКОВОДСТВО ПО ПРОВЕДЕНИЮ ПРАКТИЧЕСКИХ ЗАНЯТИЙ, ИЗД.3</t>
  </si>
  <si>
    <t>978-5-00091-755-8</t>
  </si>
  <si>
    <t>34.01.01, 31.02.01, 34.02.01, 34.02.02</t>
  </si>
  <si>
    <t>Рекомендовано Методическим советом Учебно-методического центра по профессиональному образованию Департамента образования города Москвы в качестве учебного пособия для студентов образовательных учреждений среднего профессионального образования</t>
  </si>
  <si>
    <t>0315</t>
  </si>
  <si>
    <t>083350.09.01</t>
  </si>
  <si>
    <t>Сестринское дело в терапии. С курсом...: Уч. пос. / В.Г.Лычев - 2 изд.- Форум: Инфра-М, 2022 - 544с.(ПО) (П)</t>
  </si>
  <si>
    <t>СЕСТРИНСКОЕ ДЕЛО В ТЕРАПИИ. С КУРСОМ ПЕРВИЧНОЙ МЕДИЦИНСКОЙ ПОМОЩИ, ИЗД.2</t>
  </si>
  <si>
    <t>Лычев В. Г., Карманов В. К.</t>
  </si>
  <si>
    <t>978-5-91134-628-7</t>
  </si>
  <si>
    <t>Допущено Мин. обр. и науки РФ в качестве учебного пособия для студентов учреждений среднего профессионального образования</t>
  </si>
  <si>
    <t>0212</t>
  </si>
  <si>
    <t>210400.07.01</t>
  </si>
  <si>
    <t>Сестринское дело при инфекц. забол.: Уч.пос. / И.В.Колмаков-М.:ИЦ РИОР:НИЦ ИНФРА-М,2023-256с(ПО) (п)</t>
  </si>
  <si>
    <t>СЕСТРИНСКОЕ ДЕЛО ПРИ ИНФЕКЦИОННЫХ ЗАБОЛЕВАНИЯХ</t>
  </si>
  <si>
    <t>Колмаков И.В.</t>
  </si>
  <si>
    <t>978-5-369-01219-2</t>
  </si>
  <si>
    <t>Рекомендовано в качестве учебного пособия для студентов, обучающихся в учебных заведениях, рализующих программы среднего профессионального образования по специальностям 060501 «Сестринское дело», 060101 «Лечебное дело» (повышенный уровень), 060102 «А</t>
  </si>
  <si>
    <t>051900.16.01</t>
  </si>
  <si>
    <t>Синдромная патология, дифференц. диагност..: Уч. пос. /Г.Д.Тобулток -3изд.-Форум: ИНФРА-М, 2023-336с. (СПО)</t>
  </si>
  <si>
    <t>СИНДРОМНАЯ ПАТОЛОГИЯ, ДИФФЕРЕНЦИАЛЬНАЯ ДИАГНОСТИКА И ФАРМАКОТЕРАПИЯ, ИЗД.3</t>
  </si>
  <si>
    <t>Тобулток Г. Д., Иванова Н. А.</t>
  </si>
  <si>
    <t>978-5-00091-693-3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</si>
  <si>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31.02.01 «Лечебное дело»</t>
  </si>
  <si>
    <t>0312</t>
  </si>
  <si>
    <t>750932.02.01</t>
  </si>
  <si>
    <t>Совр. демограф. процессы: здоровье и здравоохр.: Уч.пос. / А.А.Шабунова - изд.-М.:НИЦ ИНФРА-М,2024.-223 с(п)</t>
  </si>
  <si>
    <t>СОВРЕМЕННЫЕ ДЕМОГРАФИЧЕСКИЕ ПРОЦЕССЫ: ЗДОРОВЬЕ И ЗДРАВООХРАНЕНИЕ, ИЗД.2</t>
  </si>
  <si>
    <t>Шабунова А.А., Калачикова О.Н., Груздева М.А. и др.</t>
  </si>
  <si>
    <t>978-5-16-017290-3</t>
  </si>
  <si>
    <t>32.04.01, 39.04.01, 38.04.01, 31.05.01, 31.05.02, 32.05.01</t>
  </si>
  <si>
    <t>Вологодский научный центр Российской академии наук</t>
  </si>
  <si>
    <t>690261.01.01</t>
  </si>
  <si>
    <t>Современные аспекты экологической медицины...: Моногр. / Е.В.Евстафьева-М.:НИЦ ИНФРА-М,2023.-251 с.(П)</t>
  </si>
  <si>
    <t>СОВРЕМЕННЫЕ АСПЕКТЫ ЭКОЛОГИЧЕСКОЙ МЕДИЦИНЫ: ТЕОРИЯ И ПРАКТИКА НА КРЫМСКОМ ПОЛУОСТРОВЕ</t>
  </si>
  <si>
    <t>Евстафьева Е.В., Артов А.М., Богданова А.М. и др.</t>
  </si>
  <si>
    <t>978-5-16-018182-0</t>
  </si>
  <si>
    <t>Академический научно-исследовательский институт физических методов лечения, медицинской климатологии</t>
  </si>
  <si>
    <t>465350.07.01</t>
  </si>
  <si>
    <t>Современные вопросы клинической фармакологии: Уч.пос. / Н.Б.Сидоренко - М: ИНФРА-М,2023 - 217с.(ВО)(П)</t>
  </si>
  <si>
    <t>СОВРЕМЕННЫЕ ВОПРОСЫ КЛИНИЧЕСКОЙ ФАРМАКОЛОГИИ</t>
  </si>
  <si>
    <t>Сидоренко Н.Б., Терентьева Н.В., Титова З.А. и др.</t>
  </si>
  <si>
    <t>978-5-16-009499-1</t>
  </si>
  <si>
    <t>31.02.01, 31.02.02, 34.02.01, 31.05.01, 31.05.02, 31.05.03, 34.03.01</t>
  </si>
  <si>
    <t>161800.10.01</t>
  </si>
  <si>
    <t>Тактика мед. сестры при неотложных...: Уч.пос. / В.Г.Лычев - 3 изд.-М.:НИЦ ИНФРА-М,2023.-318 с.(П)</t>
  </si>
  <si>
    <t>ТАКТИКА МЕДИЦИНСКОЙ СЕСТРЫ ПРИ НЕОТЛОЖНЫХ ЗАБОЛЕВАНИЯХ И СОСТОЯНИЯХ, ИЗД.3</t>
  </si>
  <si>
    <t>Лычев В.Г., Савельев В.М., Карманов В.К.</t>
  </si>
  <si>
    <t>978-5-16-014327-9</t>
  </si>
  <si>
    <t>31.02.01, 34.02.01, 34.03.01</t>
  </si>
  <si>
    <t>Рекомендовано Методическим советом ГОУ ДПО «Учебно-методический центр по профессиональному образованию» Департамента образования города Москвы в качестве учебного пособия для студентов и учащихся образовательных учреждений среднего профессионального образования</t>
  </si>
  <si>
    <t>0319</t>
  </si>
  <si>
    <t>161800.06.01</t>
  </si>
  <si>
    <t>Тактика мед.сестры при неотложных...: Уч.пос./В.Г.Лычев-2изд.-М.:Форум,НИЦ ИНФРА-М,2018-352с.(ПО)(П)</t>
  </si>
  <si>
    <t>ТАКТИКА МЕДИЦИНСКОЙ СЕСТРЫ ПРИ НЕОТЛОЖНЫХ ЗАБОЛЕВАНИЯХ И СОСТОЯНИЯХ, ИЗД.2</t>
  </si>
  <si>
    <t>Лычев В. Г., Савельев В. М., Карманов В. К.</t>
  </si>
  <si>
    <t>978-5-00091-471-7</t>
  </si>
  <si>
    <t>Рекомендовано Методическим советом ГОУ ДПО Учебно-методический центр по профессиональному образованию Департамента образования города Москвы в качестве учебного пособия для студентов и учащихся образовательных учреждений среднего профессионального образования</t>
  </si>
  <si>
    <t>244700.11.01</t>
  </si>
  <si>
    <t>Тактика психиатрич.обслед.и алгоритм...: Уч.пос. / Л.М.Барденштейн - М.:НИЦ ИНФРА-М,2024-76с.(ВО)(О)</t>
  </si>
  <si>
    <t>ТАКТИКА ПСИХИАТРИЧЕСКОГО ОБСЛЕДОВАНИЯ И АЛГОРИТМ НАПИСАНИЯ ИСТОРИИ БОЛЕЗНИ</t>
  </si>
  <si>
    <t>Барденштейн Л.М., Алешкина Г.А.</t>
  </si>
  <si>
    <t>978-5-16-006122-1</t>
  </si>
  <si>
    <t>31.05.01, 31.08.20</t>
  </si>
  <si>
    <t>Рекомендовано в качестве учебного пособия для студентов высших учебных заведений, обучающихся по направлениям подготовки 31.05.01 «Лечебное дело» (квалификация «врач общей практики»), 31.08.20 «Психиатрия» (квалификация «врач-психиатр»)</t>
  </si>
  <si>
    <t>648868.03.01</t>
  </si>
  <si>
    <t>Теоретические основы здоровья человека...: Уч.пос. / Н.Н.Каргин-М.:НИЦ ИНФРА-М,2023.-243 с.(П)</t>
  </si>
  <si>
    <t>ТЕОРЕТИЧЕСКИЕ ОСНОВЫ ЗДОРОВЬЯ ЧЕЛОВЕКА И ЕГО ФОРМИРОВАНИЯ СРЕДСТВАМИ ФИЗИЧЕСКОЙ КУЛЬТУРЫ И СПОРТА</t>
  </si>
  <si>
    <t>Каргин Н.Н., Лаамарти Ю.А.</t>
  </si>
  <si>
    <t>978-5-16-015939-3</t>
  </si>
  <si>
    <t>32.04.01, 49.04.01, 32.05.01, 44.03.01, 49.03.01, 49.03.03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</si>
  <si>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укрупненным направлениям подготовки 49.03.00 «Физическая культура и спорт», 43.03.00 «Сервис и туризм», 44.03.00 «Образование и педагогические науки» (квалификация (степень) «бакалавр») (протокол № 5 от 26.03.2020)</t>
  </si>
  <si>
    <t>Российский университет транспорта (МИИТ)</t>
  </si>
  <si>
    <t>274100.06.01</t>
  </si>
  <si>
    <t>Теория сестринского дела: Уч. / Н.Н.Камынина - 2 изд - М.:НИЦ ИНФРА-М,2023-214с.(ВО:Бакалавриат) (п)</t>
  </si>
  <si>
    <t>ТЕОРИЯ СЕСТРИНСКОГО ДЕЛА, ИЗД.2</t>
  </si>
  <si>
    <t>Камынина Н.Н., Островская И.В., Пьяных А.В.</t>
  </si>
  <si>
    <t>978-5-16-009579-0</t>
  </si>
  <si>
    <t>31.02.01, 34.03.01</t>
  </si>
  <si>
    <t>Рекомендовано ГОУ ВПО "Московская медицинская академия им. ИМ. Сеченова" в качестве учебника для студентов высшего профессионального образования, обучающихся по специальности 060109.65 «Сестринское дело"</t>
  </si>
  <si>
    <t>705354.02.01</t>
  </si>
  <si>
    <t>Теория сестринского дела: Уч. / Н.Н.Камынина и др. - 2 изд. - М.:НИЦ ИНФРА-М,2022 - 214 с.-(СПО)(п)</t>
  </si>
  <si>
    <t>Камынина Н.Н., Островская И.В., Пьяных А.В. и др.</t>
  </si>
  <si>
    <t>978-5-16-015034-5</t>
  </si>
  <si>
    <t>34.01.01, 31.02.01, 34.02.01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</si>
  <si>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34.02.00 «Сестринское дело» (протокол № 5 от 11.03.2019)</t>
  </si>
  <si>
    <t>744299.01.01</t>
  </si>
  <si>
    <t>Тепловизионная скрининг-диагностика. Болезни системы кровообращения. Варикозное расширение вен. Атлас термограмм -М.:НИЦ ИНФРА-М,2020.-91 с.(П)</t>
  </si>
  <si>
    <t>ТЕПЛОВИЗИОННАЯ СКРИНИНГ-ДИАГНОСТИКА. БОЛЕЗНИ СИСТЕМЫ КРОВООБРАЩЕНИЯ. ВАРИКОЗНОЕ РАСШИРЕНИЕ ВЕН НИЖНИХ КОНЕЧНОСТЕЙ. ФЛЕБИТ. ТРОМБОФЛЕБИТ</t>
  </si>
  <si>
    <t>Воловик М.Г., Долгов И.М., Муравина Н.Л.</t>
  </si>
  <si>
    <t>978-5-16-016492-2</t>
  </si>
  <si>
    <t>Атлас</t>
  </si>
  <si>
    <t>31.02.01, 32.04.01, 31.05.01, 31.05.02, 32.05.01, 31.06.01, 31.07.01, 31.08.01, 31.08.05</t>
  </si>
  <si>
    <t>744298.01.01</t>
  </si>
  <si>
    <t>Тепловизионная скрининг-диагностика. Болезни щитовидной железы. Атлас термограмм: атлас / И.М.Долгов-М.:НИЦ ИНФРА-М,2020.-51 с.(П)</t>
  </si>
  <si>
    <t>ТЕПЛОВИЗИОННАЯ СКРИНИНГ-ДИАГНОСТИКА. БОЛЕЗНИ ЩИТОВИДНОЙ ЖЕЛЕЗЫ</t>
  </si>
  <si>
    <t>Долгов И.М., Воловик М.Г.</t>
  </si>
  <si>
    <t>978-5-16-016490-8</t>
  </si>
  <si>
    <t>32.04.01, 31.05.01, 31.05.02, 32.05.01, 31.08.53</t>
  </si>
  <si>
    <t>130130.07.01</t>
  </si>
  <si>
    <t>Технологии восстан. лечения при дорсопатиях: Уч. пос./ Л.Г. Агасаров.-Вуз. уч..:ИНФРА-М, 2024.-96с. (о)</t>
  </si>
  <si>
    <t>ТЕХНОЛОГИИ ВОССТАНОВИТЕЛЬНОГО ЛЕЧЕНИЯ ПРИ ДОРСОПАТИЯХ, ИЗД.2</t>
  </si>
  <si>
    <t>Агасаров Л. Г.</t>
  </si>
  <si>
    <t>978-5-9558-0162-9</t>
  </si>
  <si>
    <t>31.06.01, 31.08.42, 31.08.56, 31.08.66, 31.08.67</t>
  </si>
  <si>
    <t>Рекомендовано УМО по медицинскому и фармацевтическому образованию вузов России в качестве учебного пособия для системы послевузового профессионального образования врачей</t>
  </si>
  <si>
    <t>0210</t>
  </si>
  <si>
    <t>204200.07.01</t>
  </si>
  <si>
    <t>Технология конструкционных матер. в приборостроении: Уч. / Р.М.Гоцеридзе - ИНФРА-М, 2022-423с.(ВО) (п)</t>
  </si>
  <si>
    <t>ТЕХНОЛОГИЯ КОНСТРУКЦИОННЫХ МАТЕРИАЛОВ В ПРИБОРОСТРОЕНИИ</t>
  </si>
  <si>
    <t>Гоцеридзе Р. М.</t>
  </si>
  <si>
    <t>978-5-16-005048-5</t>
  </si>
  <si>
    <t>Рекомендовано в качестве учебника студентам высших учебных заведений, обучающихся по направлению 200000 "Приборостроение и оптотехника»</t>
  </si>
  <si>
    <t>Московский государственный технический университет им. Н.Э. Баумана</t>
  </si>
  <si>
    <t>654536.04.01</t>
  </si>
  <si>
    <t>Трофические язвы венозной этиологии. Диагност....: Уч.пос. / С.Е.Каторкин, - 2 изд.-М.:НИЦ ИНФРА-М,2023.-317 с.(п)</t>
  </si>
  <si>
    <t>ТРОФИЧЕСКИЕ ЯЗВЫ ВЕНОЗНОЙ ЭТИОЛОГИИ. ДИАГНОСТИКА И ЛЕЧЕНИЕ., ИЗД.2</t>
  </si>
  <si>
    <t>Каторкин С.Е., Мельников М.А.</t>
  </si>
  <si>
    <t>978-5-16-018237-7</t>
  </si>
  <si>
    <t>Апрель, 2023</t>
  </si>
  <si>
    <t>654536.03.01</t>
  </si>
  <si>
    <t>Трофические язвы венозной этиологии. Диагност.: Уч.пос. / С.Е.Каторкин - М.:НИЦ ИНФРА-М,2022 - 312 с.(ВО)(П)</t>
  </si>
  <si>
    <t>ТРОФИЧЕСКИЕ ЯЗВЫ ВЕНОЗНОЙ ЭТИОЛОГИИ. ДИАГНОСТИКА И ЛЕЧЕНИЕ.</t>
  </si>
  <si>
    <t>978-5-16-014064-3</t>
  </si>
  <si>
    <t>663826.05.01</t>
  </si>
  <si>
    <t>Участковый врач-терапевт: Уч. / Т.Т.Карманова - М.:НИЦ ИНФРА-М,2024 - 722 с.(ВО: Специалитет)(П)</t>
  </si>
  <si>
    <t>УЧАСТКОВЫЙ ВРАЧ-ТЕРАПЕВТ</t>
  </si>
  <si>
    <t>978-5-16-015761-0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</si>
  <si>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направлению подготовки 31.05.01 «Лечебное дело» (квалификация «врач общей практики») (протокол № 2 от 28.01.2019)</t>
  </si>
  <si>
    <t>234500.07.01</t>
  </si>
  <si>
    <t>Фармакология: Уч. / М.Д.Гаевый - М.:НИЦ ИНФРА-М,2024 - 454 с.(ВО)(П)</t>
  </si>
  <si>
    <t>ФАРМАКОЛОГИЯ</t>
  </si>
  <si>
    <t>Гаевый М.Д., Гаевая Л.М.</t>
  </si>
  <si>
    <t>978-5-16-009135-8</t>
  </si>
  <si>
    <t>31.02.01, 31.02.02, 34.02.01, 33.05.01</t>
  </si>
  <si>
    <t>Допущено Министерством здравоохранения РФ в качестве учебника для учащихся медицинских и фармацевтических вузов и факультетов</t>
  </si>
  <si>
    <t>Волгоградский государственный медицинский университет, ф-л Пятигорский медико-фармацевтический институт</t>
  </si>
  <si>
    <t>333000.06.01</t>
  </si>
  <si>
    <t>Фармакотерапия с основ.клинич.фарм.и фитотерапии: Уч./ М.Д.Гаевый-М.:НИЦ ИНФРА-М,2023.-639 с.(ВО)(П)</t>
  </si>
  <si>
    <t>ФАРМАКОТЕРАПИЯ С ОСНОВАМИ КЛИНИЧЕСКОЙ ФАРМАКОЛОГИИ И ФИТОТЕРАПИИ</t>
  </si>
  <si>
    <t>978-5-16-011853-6</t>
  </si>
  <si>
    <t>Рекомендовано Департаментом образовательных медицинских учреждений и кадровой политики Министерства здравоохранения Российской Федерации в качестве учебника для студентов фармацевтических и медицинских вузов</t>
  </si>
  <si>
    <t>245100.07.01</t>
  </si>
  <si>
    <t>Физиологические основы здоровья: Уч.пос. / Н.П.Абаскалова - 2 изд.-М.:НИЦ ИНФРА-М,2024-351с.(ВО)(П)</t>
  </si>
  <si>
    <t>ФИЗИОЛОГИЧЕСКИЕ ОСНОВЫ ЗДОРОВЬЯ, ИЗД.2</t>
  </si>
  <si>
    <t>Абаскалова Н. П., Иашвили М. В., Кривощеков С. Г., Айзман Р. И.</t>
  </si>
  <si>
    <t>978-5-16-009280-5</t>
  </si>
  <si>
    <t>31.02.01, 31.02.02, 31.02.06, 34.02.01, 34.02.02, 32.04.01, 31.05.01, 31.05.02, 32.05.01, 31.05.03, 34.03.01</t>
  </si>
  <si>
    <t>719504.04.01</t>
  </si>
  <si>
    <t>Физиологические основы здоровья: Уч.пос. / Н.П.Абаскалова - 2-изд.-М.:НИЦ ИНФРА-М,2020-351с(СПО)(П)</t>
  </si>
  <si>
    <t>Абаскалова Н.П., Айзман Р.И., Боровец Е.Н. и др.</t>
  </si>
  <si>
    <t>978-5-16-015639-2</t>
  </si>
  <si>
    <t>49.02.01, 44.02.01, 44.02.02, 44.02.04, 31.02.01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</si>
  <si>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 (протокол № 12 от 24.06.2019)</t>
  </si>
  <si>
    <t>0220</t>
  </si>
  <si>
    <t>408100.10.01</t>
  </si>
  <si>
    <t>Физиологические основы психической деят.:Уч.пос./ Р.И.Айзман.-М:НИЦ ИНФРА-М,2023-192с.(ВО:Бакалавр.) (п)</t>
  </si>
  <si>
    <t>ФИЗИОЛОГИЧЕСКИЕ ОСНОВЫ ПСИХИЧЕСКОЙ ДЕЯТЕЛЬНОСТИ</t>
  </si>
  <si>
    <t>Айзман Р. И., Кривощеков С. Г.</t>
  </si>
  <si>
    <t>978-5-16-006165-8</t>
  </si>
  <si>
    <t>37.03.01, 37.04.01, 49.03.01, 49.03.02, 49.03.03</t>
  </si>
  <si>
    <t>Рекомендовано Региональным центром Сибирского федерального округа по развитию преподавания безопасности жизнедеятельности в качестве учебного пособия для студентов педагогического направления (050100.62), профилей Безопасность жизнедеятельности, Биол</t>
  </si>
  <si>
    <t>365800.06.01</t>
  </si>
  <si>
    <t>Физиология с основами анатомии: Уч. / Под ред. Тюкавина А.И.-М.:НИЦ ИНФРА-М,2021.-574 с.(ВО)(П)</t>
  </si>
  <si>
    <t>ФИЗИОЛОГИЯ С ОСНОВАМИ АНАТОМИИ</t>
  </si>
  <si>
    <t>Тюкавин А.И., Черешнев В.А., Яковлев В.Н. и др.</t>
  </si>
  <si>
    <t>978-5-16-011002-8</t>
  </si>
  <si>
    <t>31.05.01, 33.05.01, 34.03.01, 49.03.01, 49.03.02, 49.03.03</t>
  </si>
  <si>
    <t>Рекомендовано в качестве учебника для студентов высших учебных заведений, обучающихся по направлению подготовки 33.05.01 «Фармация» (квалификация (степень) «провизор»)</t>
  </si>
  <si>
    <t>637739.07.01</t>
  </si>
  <si>
    <t>Физиология физкультурно-оздор. деят.: Уч. / Л.К.Караулова-М.:НИЦ ИНФРА-М,2023.-336 с.(ВО)(П)</t>
  </si>
  <si>
    <t>ФИЗИОЛОГИЯ ФИЗКУЛЬТУРНО-ОЗДОРОВИТЕЛЬНОЙ ДЕЯТЕЛЬНОСТИ</t>
  </si>
  <si>
    <t>Караулова Л.К.</t>
  </si>
  <si>
    <t>978-5-16-018443-2</t>
  </si>
  <si>
    <t>31.05.01, 32.05.01, 30.05.02, 49.03.01, 49.03.02</t>
  </si>
  <si>
    <t>Рекомендовано в качестве учебника для студентов высших учебных заведений, обучающихся по направлению подготовки 49.03.01 «Физическая культура» (квалификация (степень) «бакалавр»)</t>
  </si>
  <si>
    <t>Московский городской педагогический университет</t>
  </si>
  <si>
    <t>244900.06.01</t>
  </si>
  <si>
    <t>Физиология человека: Уч. пос./ Р.И. Айзман - 2 изд. - М.: НИЦ ИНФРА-М, 2023 -432с.(ВО:Бакалавр.) (п)</t>
  </si>
  <si>
    <t>ФИЗИОЛОГИЯ ЧЕЛОВЕКА, ИЗД.2</t>
  </si>
  <si>
    <t>Айзман Р.И., Абаскалова Н.П., Шуленина Н.С.</t>
  </si>
  <si>
    <t>978-5-16-009279-9</t>
  </si>
  <si>
    <t>44.04.01, 44.03.01, 44.03.05</t>
  </si>
  <si>
    <t>Рекомендовано Региональным центром Сибирского Федерального округа по развитию преподавания безопасности жизнедеятельности в качестве учебного пособия для студентов высших учебных заведений, обучающихся по направлению 44.04.01 (050100.62) «Педагогическое образование» (профили «Безопасность жизнедеятельности», «Биология», «Психология»</t>
  </si>
  <si>
    <t>465050.11.01</t>
  </si>
  <si>
    <t>Физиология: Уч.пос. / Ю.Н.Самко - М.:НИЦ ИНФРА-М,2023 - 144 с.-(ВО)(о)</t>
  </si>
  <si>
    <t>ФИЗИОЛОГИЯ</t>
  </si>
  <si>
    <t>Самко Ю. Н.</t>
  </si>
  <si>
    <t>978-5-16-009659-9</t>
  </si>
  <si>
    <t>31.02.01, 31.05.01, 31.05.02, 30.05.01, 30.05.02, 30.05.03, 44.03.05</t>
  </si>
  <si>
    <t>Рекомендовано в качестве учебного пособия для студентов высших учебных заведений, обучающихся по направлениям подготовки 31.05.01 «Лечебное дело», 31.05.02 «Педиатрия» (квалификация «врач общей практики» и «врач-педиатр общей практики»)</t>
  </si>
  <si>
    <t>359000.08.01</t>
  </si>
  <si>
    <t>Физические основы получ. информации: Уч. / Г.Г.Раннев и др., - 2 изд.-М.:КУРС,НИЦ ИНФРА-М,2023-304 с</t>
  </si>
  <si>
    <t>ФИЗИЧЕСКИЕ ОСНОВЫ ПОЛУЧЕНИЯ ИНФОРМАЦИИ, ИЗД.2</t>
  </si>
  <si>
    <t>Раннев Г.Г., Сурогина В.А., Тарасенко А.П. и др.</t>
  </si>
  <si>
    <t>Бакалавриат</t>
  </si>
  <si>
    <t>978-5-906818-97-3</t>
  </si>
  <si>
    <t>Рекомендовано в качестве учебника для студентов высших учебных заведений, обучающихся по направлению подготовки 12.03.01 «Приборостроение» (квалификация — Бакалавр)</t>
  </si>
  <si>
    <t>0217</t>
  </si>
  <si>
    <t>428700.05.01</t>
  </si>
  <si>
    <t>Физические основы получения информации: Уч. пос. / Б.Ю. Каплан. - М.: ИНФРА-М, 2023. - 286 с. (ВО) (п)</t>
  </si>
  <si>
    <t>ФИЗИЧЕСКИЕ ОСНОВЫ ПОЛУЧЕНИЯ ИНФОРМАЦИИ</t>
  </si>
  <si>
    <t>978-5-16-006381-2</t>
  </si>
  <si>
    <t>419850.06.01</t>
  </si>
  <si>
    <t>Филогенетическая теория общей патологии. Патогенез метабол..: Моногр./В.Н.Титов - ИНФРА-М, 2024-223с (о)</t>
  </si>
  <si>
    <t>ФИЛОГЕНЕТИЧЕСКАЯ ТЕОРИЯ ОБЩЕЙ ПАТОЛОГИИ. ПАТОГЕНЕЗ МЕТАБОЛИЧЕСКИХ ПАНДЕМИЙ. САХАРНЫЙ ДИАБЕТ</t>
  </si>
  <si>
    <t>Титов В. Н.</t>
  </si>
  <si>
    <t>978-5-16-006539-7</t>
  </si>
  <si>
    <t>31.05.01, 31.06.01, 31.08.07</t>
  </si>
  <si>
    <t>210100.07.01</t>
  </si>
  <si>
    <t>Филогенетическая теория общей патологии...:Моногр. / В.Н.Титов-М:НИЦ ИНФРА-М,2023-238с(Научн. мысль)</t>
  </si>
  <si>
    <t>ФИЛОГЕНЕТИЧЕСКАЯ ТЕОРИЯ ОБЩЕЙ ПАТОЛОГИИ. ПАТОГЕНЕЗ БОЛЕЗНЕЙ ЦИВИЛИЗАЦИИ. АТЕРОСКЛЕРОЗ</t>
  </si>
  <si>
    <t>978-5-16-006837-4</t>
  </si>
  <si>
    <t>31.05.01, 30.05.02, 30.06.01, 31.06.01, 31.07.01, 31.08.36</t>
  </si>
  <si>
    <t>453250.04.01</t>
  </si>
  <si>
    <t>Филогенетическая теория общей патологии..: Моногр. / В.Н.Титов - М.:ИНФРА-М,2020-204с.-(Научн.мысль) (о)</t>
  </si>
  <si>
    <t>ФИЛОГЕНЕТИЧЕСКАЯ ТЕОРИЯ ОБЩЕЙ ПАТОЛОГИИ. ПАТОГЕНЕЗ МЕТАБОЛИЧЕСКИХ ПАНДЕМИЙ. АРТЕРИАЛЬНАЯ ГИПЕРТОНИЯ</t>
  </si>
  <si>
    <t>978-5-16-009287-4</t>
  </si>
  <si>
    <t>31.05.01, 31.06.01, 31.07.01, 31.08.07, 31.08.36, 34.03.01</t>
  </si>
  <si>
    <t>273200.02.01</t>
  </si>
  <si>
    <t>Функциональная пластичность спинальных двигат...: Моногр./О.В.Ланская-ИНФРА-М,2017-104с.(Науч. мыс.)</t>
  </si>
  <si>
    <t>ФУНКЦИОНАЛЬНАЯ ПЛАСТИЧНОСТЬ СПИНАЛЬНЫХ ДВИГАТЕЛЬНЫХ ЦЕНТРОВ НА ФОНЕ КОМПРЕССИИ ПОЯСНИЧНО-КРЕСТЦОВЫХ НЕРВНЫХ КОРЕШКОВ</t>
  </si>
  <si>
    <t>Ланская О.В., Андриянова Е.Ю.</t>
  </si>
  <si>
    <t>978-5-16-009686-5</t>
  </si>
  <si>
    <t>31.05.01, 31.06.01, 31.07.01, 31.08.42, 31.08.52, 31.08.66, 31.08.67</t>
  </si>
  <si>
    <t>773008.01.01</t>
  </si>
  <si>
    <t>Хирургические вмешательства в комплекс. лечении туберкулеза... / Е.А.Бородулина.-М.:НИЦ ИНФРА-М,2022.-187 с(О)</t>
  </si>
  <si>
    <t>ХИРУРГИЧЕСКИЕ ВМЕШАТЕЛЬСТВА В КОМПЛЕКСНОМ ЛЕЧЕНИИ ТУБЕРКУЛЕЗА ЛЕГКИХ. ПРЕДОПЕРАЦИОННОЕ ПЛАНИРОВАНИЕ С 3D МОДЕЛИРОВАНИЕМ</t>
  </si>
  <si>
    <t>Бородулина Е.А., Колсанов А.В., Рогожкин П.В.</t>
  </si>
  <si>
    <t>978-5-16-017530-0</t>
  </si>
  <si>
    <t>31.05.01, 31.05.02, 32.05.01, 31.05.03, 31.08.35, 31.08.51</t>
  </si>
  <si>
    <t>462900.05.01</t>
  </si>
  <si>
    <t>Хирургическое леч.больных с травмами...: Уч.пос./В.И.Белоконев-М.:НИЦ ИНФРА-М,2024-64с.(ВО)(о)</t>
  </si>
  <si>
    <t>ХИРУРГИЧЕСКОЕ ЛЕЧЕНИЕ БОЛЬНЫХ С ТРАВМАМИ И СТРИКТУРАМИ ЖЕЛЧНЫХ ПРОТОКОВ</t>
  </si>
  <si>
    <t>Белоконев В.И., Ковалева З.В., Вострецов Ю.А. и др.</t>
  </si>
  <si>
    <t>978-5-16-016478-6</t>
  </si>
  <si>
    <t>Рекомендовано в качестве учебного пособия для студентов медицинских вузов и системы последипломного профессионального образования врачей по специальности 14.01.17 «Хирургия»</t>
  </si>
  <si>
    <t>413800.07.01</t>
  </si>
  <si>
    <t>Хирургия с сестринским уходом: Уч. пос. / Б.В. Цепунов. - М.: Форум:  НИЦ ИНФРА-М,2024-576с.(ПО) (п)</t>
  </si>
  <si>
    <t>ХИРУРГИЯ С СЕСТРИНСКИМ УХОДОМ</t>
  </si>
  <si>
    <t>Цепунов Б. В., Гоженко К. Н., Жиляев Е. А.</t>
  </si>
  <si>
    <t>978-5-91134-700-0</t>
  </si>
  <si>
    <t>Рекомендовано Департаментом образовательных медицинских учреждений и кадровой политики Министерства здравоохранения и социальной политики РФ в качестве учебного пособия для студентов медицинских колледжей и училищ, обучающихся по специальностям 06050</t>
  </si>
  <si>
    <t>Кисловодский медицинский колледж</t>
  </si>
  <si>
    <t>693869.02.01</t>
  </si>
  <si>
    <t>Хирургия: Уч. / Б.В.Цепунов и др.-М.:НИЦ ИНФРА-М,2023.-552 с..-(СПО)(п)</t>
  </si>
  <si>
    <t>ХИРУРГИЯ</t>
  </si>
  <si>
    <t>Цепунов Б.В., Гоженко К.Н., Жиляев Е.А.</t>
  </si>
  <si>
    <t>978-5-16-015726-9</t>
  </si>
  <si>
    <t>31.02.01, 31.02.02, 34.02.01, 34.02.02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</si>
  <si>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31.02.01 «Лечебное дело», 31.02.02 «Акушерское дело», 34.02.01 «Сестринское дело» (протокол № 5 от 19.05.2021)</t>
  </si>
  <si>
    <t>689013.04.01</t>
  </si>
  <si>
    <t>Хирургия: эпонимические симптомы и синдромы / Под ред. Колсанова А.В.-М.:НИЦ ИНФРА-М,2022-1111с.(ВО)</t>
  </si>
  <si>
    <t>ХИРУРГИЯ: ЭПОНИМИЧЕСКИЕ СИМПТОМЫ И СИНДРОМЫ</t>
  </si>
  <si>
    <t>Авраменко А.А., Адыширин-Заде Э.Э., Алексеев Д.Г. и др.</t>
  </si>
  <si>
    <t>978-5-16-014119-0</t>
  </si>
  <si>
    <t>330700.08.01</t>
  </si>
  <si>
    <t>Частная проктология. Геморрой: Уч.пос. / И.В.Макаров - М.:Форум, НИЦ ИНФРА-М,2023.-96 с.-(ВО)(о)</t>
  </si>
  <si>
    <t>ЧАСТНАЯ ПРОКТОЛОГИЯ. ГЕМОРРОЙ</t>
  </si>
  <si>
    <t>Макаров И.В., Долгих О.Ю.</t>
  </si>
  <si>
    <t>978-5-00091-025-2</t>
  </si>
  <si>
    <t>31.02.01, 31.05.01, 31.05.03</t>
  </si>
  <si>
    <t>423150.05.01</t>
  </si>
  <si>
    <t>Шизофрения и сахарный диабет типа 2 (вопросы коморбидности и психофармакотерапии): уч.пос. / Л.М.Барденштейн и др.-М.:НИЦ ИНФРА-М,2019.-83 с..-(Высшее</t>
  </si>
  <si>
    <t>ШИЗОФРЕНИЯ И САХАРНЫЙ ДИАБЕТ ТИПА 2 (ВОПРОСЫ КОМОРБИДНОСТИ И ПСИХОФАРМАКОТЕРАПИИ)</t>
  </si>
  <si>
    <t>Барденштейн Л. М., Мкртумян А. М., Алешкина Г. А.</t>
  </si>
  <si>
    <t>978-5-16-006573-1</t>
  </si>
  <si>
    <t>219100.03.01</t>
  </si>
  <si>
    <t>Экспертиза вреда здоровью..:Науч.-практ.пос./Под ред. проф. В.А.Клевно-М.:Норма:НИЦ ИНФРА-М,2017-320</t>
  </si>
  <si>
    <t>ЭКСПЕРТИЗА ВРЕДА ЗДОРОВЬЮ. УТРАТА ОБЩЕЙ И ПРОФЕССИОНАЛЬНОЙ ТРУДОСПОСОБНОСТИ</t>
  </si>
  <si>
    <t>Клевно В.А., Пузин С.Н.</t>
  </si>
  <si>
    <t>Юр. НОРМА</t>
  </si>
  <si>
    <t>978-5-91768-405-5</t>
  </si>
  <si>
    <t>Научно-практическое пособие</t>
  </si>
  <si>
    <t>40.03.01, 32.04.01, 40.04.01, 31.05.01, 32.05.01, 31.08.10, 31.08.41</t>
  </si>
  <si>
    <t>Бюро судебно-медицинской экспертизы</t>
  </si>
  <si>
    <t>439400.07.01</t>
  </si>
  <si>
    <t>Экспертная деят. в обяз. мед. страхов.: Практ. пос./ А.В.Березников -М.:НИЦ ИНФРА-М,2023.-184 с.(ВО)(О)</t>
  </si>
  <si>
    <t>ЭКСПЕРТНАЯ ДЕЯТЕЛЬНОСТЬ В ОБЯЗАТЕЛЬНОМ МЕДИЦИНСКОМ СТРАХОВАНИИ</t>
  </si>
  <si>
    <t>Березников А.В., Конев В.П., Онуфрийчук Ю.О. и др.</t>
  </si>
  <si>
    <t>Высшее образование (РЭУ)</t>
  </si>
  <si>
    <t>978-5-16-011353-1</t>
  </si>
  <si>
    <t>Практическое пособие</t>
  </si>
  <si>
    <t>31.05.01, 31.05.02, 31.05.03, 31.06.01, 31.07.01, 31.08.01, 31.08.02, 31.08.03, 31.08.04, 31.08.05, 31.08.06, 31.08.07, 31.08.08, 31.08.09, 31.08.10, 31.08.11, 31.08.12, 31.08.13, 31.08.14, 31.08.15, 31.08.16, 31.08.17, 31.08.18, 31.08.19, 31.08.20, 31.08.21, 31.08.22, 31.08.23, 31.08.24, 31.08.25, 31.08.26, 31.08.28, 31.08.29, 31.08.30, 31.08.31, 31.08.32, 31.08.33, 31.08.34, 31.08.35, 31.08.36, 31.08.37, 31.08.38, 31.08.39, 31.08.40, 31.08.41, 31.08.42, 31.08.43, 31.08.44, 31.08.45, 31.08.46, 31.08.47, 31.08.48, 31.08.49, 31.08.50, 31.08.51, 31.08.52, 31.08.53, 31.08.54, 31.08.55, 31.08.56, 31.08.57, 31.08.58, 31.08.59, 31.08.60, 31.08.61, 31.08.62, 31.08.63, 31.08.64, 31.08.65, 31.08.66, 31.08.67, 31.08.68, 31.08.69, 31.08.70, 31.08.71, 31.08.72, 31.08.73, 31.08.74, 31.08.75, 31.08.76, 31.08.77, 38.03.01</t>
  </si>
  <si>
    <t>372100.07.01</t>
  </si>
  <si>
    <t>Экстренная проктология: Уч.пос. / Б.Н.Жуков - М.:Форум, НИЦ ИНФРА-М,2023 - 96 с.(ВО)(О)</t>
  </si>
  <si>
    <t>ЭКСТРЕННАЯ ПРОКТОЛОГИЯ</t>
  </si>
  <si>
    <t>Жуков Б.Н., Журавлев А.В., Исаев В.Р. и др.</t>
  </si>
  <si>
    <t>978-5-00091-087-0</t>
  </si>
  <si>
    <t>Рекомендовано Центральным координационно-методическим советом ГБОУ ВПО «Самарский государственный медицинский университет» Министерства здравоохранения Российской федерации</t>
  </si>
  <si>
    <t>427400.04.01</t>
  </si>
  <si>
    <t>Электросудорожная терапия в практ. анестез.: Науч.-практ. пос./Ю.В.Быков - РИОР: Инфра-М, 2020-222с. (о)</t>
  </si>
  <si>
    <t>ЭЛЕКТРОСУДОРОЖНАЯ ТЕРАПИЯ В ПРАКТИКЕ АНЕСТЕЗИОЛОГА</t>
  </si>
  <si>
    <t>Быков Ю. В.</t>
  </si>
  <si>
    <t>978-5-369-01140-9</t>
  </si>
  <si>
    <t>708231.03.01</t>
  </si>
  <si>
    <t>Этиология, патогенез и лечение рецидивных...: Уч.пос. / В.И.Белоконев - М.:НИЦ ИНФРА-М,2022 - 135 с.(П)</t>
  </si>
  <si>
    <t>ЭТИОЛОГИЯ, ПАТОГЕНЕЗ И ЛЕЧЕНИЕ РЕЦИДИВНЫХ ПОСЛЕОПЕРАЦИОННЫХ ВЕНТРАЛЬНЫХ ГРЫЖ</t>
  </si>
  <si>
    <t>978-5-16-015824-2</t>
  </si>
  <si>
    <t>706962.03.01</t>
  </si>
  <si>
    <t>Этиология, патогенез и основы профилактики семи метабол..: Моногр./ В.Н.Титов -М.:НИЦ ИНФРА-М,2023-378с(П)</t>
  </si>
  <si>
    <t>ЭТИОЛОГИЯ, ПАТОГЕНЕЗ И ОСНОВЫ ПРОФИЛАКТИКИ СЕМИ МЕТАБОЛИЧЕСКИХ ПАНДЕМИЙ — «БОЛЕЗНЕЙ ЦИВИЛИЗАЦИИ»</t>
  </si>
  <si>
    <t>Титов В.Н., Амелюшкина В.А., Тарасов А.В.</t>
  </si>
  <si>
    <t>978-5-16-015175-5</t>
  </si>
  <si>
    <t>362500.08.01</t>
  </si>
  <si>
    <t>Эффективное общение и предупр. конфл..: Науч.-практ. пос./Г.Н.Носачев-М.:Форум,НИЦ ИНФРА-М,2023-104с.(О)</t>
  </si>
  <si>
    <t>ЭФФЕКТИВНОЕ ОБЩЕНИЕ И ПРЕДУПРЕЖДЕНИЕ КОНФЛИКТОВ В СИСТЕМЕ «ВРАЧ — ПАЦИЕНТ»</t>
  </si>
  <si>
    <t>Носачев Г.Н.</t>
  </si>
  <si>
    <t>978-5-00091-768-8</t>
  </si>
  <si>
    <t>31.05.01, 31.05.02, 31.05.03, 30.06.01, 31.06.01, 30.07.01, 31.07.01, 31.08.01, 31.08.02, 31.08.03, 31.08.04, 31.08.05, 31.08.06, 31.08.07, 31.08.08, 31.08.09, 31.08.10, 31.08.11, 31.08.12, 31.08.13, 31.08.14, 31.08.15, 31.08.16, 31.08.17, 31.08.18, 31.08.19, 31.08.20, 31.08.21, 31.08.22, 31.08.23, 31.08.24, 31.08.25, 31.08.26, 31.08.27, 31.08.28, 31.08.29, 31.08.30, 31.08.31, 31.08.32, 31.08.33, 31.08.34, 31.08.35, 31.08.36, 31.08.37, 31.08.38, 31.08.39, 31.08.40, 31.08.41, 31.08.42, 31.08.43, 31.08.44, 31.08.45, 31.08.46, 31.08.47, 31.08.48, 31.08.49, 31.08.50, 31.08.51, 31.08.52, 31.08.53, 31.08.54, 31.08.55, 31.08.56, 31.08.57, 31.08.58, 31.08.59, 31.08.60, 31.08.61, 31.08.62, 31.08.63, 31.08.64, 31.08.65, 31.08.66, 31.08.67, 31.08.68, 31.08.69, 31.08.70, 31.08.71, 31.08.72, 31.08.73, 31.08.74, 31.08.75, 31.08.76, 31.08.77</t>
  </si>
  <si>
    <t>03.00.00</t>
  </si>
  <si>
    <t>ФИЗИКА И АСТРОНОМИЯ</t>
  </si>
  <si>
    <t>03.03.01</t>
  </si>
  <si>
    <t>Прикладные математика и физика</t>
  </si>
  <si>
    <t>03.03.03</t>
  </si>
  <si>
    <t>Механика и математическое моделирование</t>
  </si>
  <si>
    <t>03.04.01</t>
  </si>
  <si>
    <t>03.04.02</t>
  </si>
  <si>
    <t>Физика</t>
  </si>
  <si>
    <t>04.00.00</t>
  </si>
  <si>
    <t>ХИМИЯ</t>
  </si>
  <si>
    <t>04.03.01</t>
  </si>
  <si>
    <t>Химия</t>
  </si>
  <si>
    <t>04.03.02</t>
  </si>
  <si>
    <t>Химия, физика и механика материалов</t>
  </si>
  <si>
    <t>04.04.01</t>
  </si>
  <si>
    <t>05.00.00</t>
  </si>
  <si>
    <t>НАУКИ О ЗЕМЛЕ</t>
  </si>
  <si>
    <t>05.03.01</t>
  </si>
  <si>
    <t>Геология</t>
  </si>
  <si>
    <t>05.03.02</t>
  </si>
  <si>
    <t>География</t>
  </si>
  <si>
    <t>05.03.06</t>
  </si>
  <si>
    <t>Экология и природопользование</t>
  </si>
  <si>
    <t>05.04.01</t>
  </si>
  <si>
    <t>05.04.02</t>
  </si>
  <si>
    <t>05.04.06</t>
  </si>
  <si>
    <t>06.00.00</t>
  </si>
  <si>
    <t>БИОЛОГИЧЕСКИЕ НАУКИ</t>
  </si>
  <si>
    <t>06.03.01</t>
  </si>
  <si>
    <t>Биология</t>
  </si>
  <si>
    <t>06.04.01</t>
  </si>
  <si>
    <t>09.00.00</t>
  </si>
  <si>
    <t>ИНФОРМАТИКА И ВЫЧИСЛИТЕЛЬНАЯ ТЕХНИКА</t>
  </si>
  <si>
    <t>09.02.03</t>
  </si>
  <si>
    <t>Программирование в компьютерных системах</t>
  </si>
  <si>
    <t>11.00.00</t>
  </si>
  <si>
    <t>ЭЛЕКТРОНИКА, РАДИОТЕХНИКА И СИСТЕМЫ СВЯЗИ</t>
  </si>
  <si>
    <t>11.03.01</t>
  </si>
  <si>
    <t>Радиотехника</t>
  </si>
  <si>
    <t>12.00.00</t>
  </si>
  <si>
    <t>ФОТОНИКА, ПРИБОРОСТРОЕНИЕ, ОПТИЧЕСКИЕ И БИОТЕХНИЧЕСКИЕ СИСТЕМЫ И ТЕХНОЛОГИИ</t>
  </si>
  <si>
    <t>Приборостроение</t>
  </si>
  <si>
    <t>12.03.04</t>
  </si>
  <si>
    <t>Биотехнические системы и технологии</t>
  </si>
  <si>
    <t>12.04.01</t>
  </si>
  <si>
    <t>12.04.02</t>
  </si>
  <si>
    <t>Оптотехника</t>
  </si>
  <si>
    <t>18.00.00</t>
  </si>
  <si>
    <t>ХИМИЧЕСКИЕ ТЕХНОЛОГИИ</t>
  </si>
  <si>
    <t>18.01.33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</si>
  <si>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</si>
  <si>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18.02.01</t>
  </si>
  <si>
    <t>Аналитический контроль качества химических соединений</t>
  </si>
  <si>
    <t>18.02.07</t>
  </si>
  <si>
    <t>Технология производства и переработки пластических масс и эластомеров</t>
  </si>
  <si>
    <t>18.02.09</t>
  </si>
  <si>
    <t>Переработка нефти и газа</t>
  </si>
  <si>
    <t>18.02.12</t>
  </si>
  <si>
    <t>Технология аналитического контроля химических соединений</t>
  </si>
  <si>
    <t>18.02.13</t>
  </si>
  <si>
    <t>Технология производства изделий из полимерных композитов</t>
  </si>
  <si>
    <t>19.00.00</t>
  </si>
  <si>
    <t>ПРОМЫШЛЕННАЯ ЭКОЛОГИЯ И БИОТЕХНОЛОГИИ</t>
  </si>
  <si>
    <t>19.01.18</t>
  </si>
  <si>
    <t>20.00.00</t>
  </si>
  <si>
    <t>ТЕХНОСФЕРНАЯ БЕЗОПАСНОСТЬ И ПРИРОДООБУСТРОЙСТВО</t>
  </si>
  <si>
    <t>Техносферная безопасность</t>
  </si>
  <si>
    <t>20.03.02</t>
  </si>
  <si>
    <t>Природообустройство и водопользование</t>
  </si>
  <si>
    <t>20.04.01</t>
  </si>
  <si>
    <t>20.05.01</t>
  </si>
  <si>
    <t>Пожарная безопасность</t>
  </si>
  <si>
    <t>21.00.00</t>
  </si>
  <si>
    <t>ПРИКЛАДНАЯ ГЕОЛОГИЯ, ГОРНОЕ ДЕЛО, НЕФТЕГАЗОВОЕ ДЕЛО И ГЕОДЕЗИЯ</t>
  </si>
  <si>
    <t>21.02.10</t>
  </si>
  <si>
    <t>Геология и разведка нефтяных и газовых месторождений</t>
  </si>
  <si>
    <t>30.00.00</t>
  </si>
  <si>
    <t>ФУНДАМЕНТАЛЬНАЯ МЕДИЦИНА</t>
  </si>
  <si>
    <t>30.05.01</t>
  </si>
  <si>
    <t>Медицинская биохимия</t>
  </si>
  <si>
    <t>30.05.02</t>
  </si>
  <si>
    <t>Медицинская биофизика</t>
  </si>
  <si>
    <t>30.05.03</t>
  </si>
  <si>
    <t>Медицинская кибернетика</t>
  </si>
  <si>
    <t>30.06.01</t>
  </si>
  <si>
    <t>Фундаментальная медицина</t>
  </si>
  <si>
    <t>30.07.01</t>
  </si>
  <si>
    <t>31.00.00</t>
  </si>
  <si>
    <t>КЛИНИЧЕСКАЯ МЕДИЦИНА</t>
  </si>
  <si>
    <t>Лечебное дело</t>
  </si>
  <si>
    <t>31.02.02</t>
  </si>
  <si>
    <t>Акушерское дело</t>
  </si>
  <si>
    <t>31.02.03</t>
  </si>
  <si>
    <t>Лабораторная диагностика</t>
  </si>
  <si>
    <t>31.02.04</t>
  </si>
  <si>
    <t>Медицинская оптика</t>
  </si>
  <si>
    <t>31.02.05</t>
  </si>
  <si>
    <t>Стоматология ортопедическая</t>
  </si>
  <si>
    <t>31.02.06</t>
  </si>
  <si>
    <t>Стоматология профилактическая</t>
  </si>
  <si>
    <t>Педиатрия</t>
  </si>
  <si>
    <t>Стоматология</t>
  </si>
  <si>
    <t>31.06.01</t>
  </si>
  <si>
    <t>Клиническая медицина</t>
  </si>
  <si>
    <t>31.07.01</t>
  </si>
  <si>
    <t>31.08.01</t>
  </si>
  <si>
    <t>Акушерство и гинекология</t>
  </si>
  <si>
    <t>31.08.02</t>
  </si>
  <si>
    <t>Анестезиология-реаниматология</t>
  </si>
  <si>
    <t>31.08.03</t>
  </si>
  <si>
    <t>Токсикология</t>
  </si>
  <si>
    <t>31.08.04</t>
  </si>
  <si>
    <t>Трансфузиология</t>
  </si>
  <si>
    <t>Клиническая лабораторная диагностика</t>
  </si>
  <si>
    <t>31.08.06</t>
  </si>
  <si>
    <t>Лабораторная генетика</t>
  </si>
  <si>
    <t>31.08.07</t>
  </si>
  <si>
    <t>Патологическая анатомия</t>
  </si>
  <si>
    <t>31.08.08</t>
  </si>
  <si>
    <t>Радиология</t>
  </si>
  <si>
    <t>31.08.09</t>
  </si>
  <si>
    <t>Рентгенология</t>
  </si>
  <si>
    <t>31.08.10</t>
  </si>
  <si>
    <t>Судебно-медицинская экспертиза</t>
  </si>
  <si>
    <t>31.08.11</t>
  </si>
  <si>
    <t>Ультразвуковая диагностика</t>
  </si>
  <si>
    <t>31.08.12</t>
  </si>
  <si>
    <t>Функциональная диагностика</t>
  </si>
  <si>
    <t>31.08.13</t>
  </si>
  <si>
    <t>Детская кардиология</t>
  </si>
  <si>
    <t>31.08.14</t>
  </si>
  <si>
    <t>Детская онкология</t>
  </si>
  <si>
    <t>31.08.15</t>
  </si>
  <si>
    <t>Детская урология-андрология</t>
  </si>
  <si>
    <t>31.08.16</t>
  </si>
  <si>
    <t>Детская хирургия</t>
  </si>
  <si>
    <t>31.08.17</t>
  </si>
  <si>
    <t>Детская эндокринология</t>
  </si>
  <si>
    <t>31.08.18</t>
  </si>
  <si>
    <t>Неонатология</t>
  </si>
  <si>
    <t>31.08.19</t>
  </si>
  <si>
    <t>31.08.20</t>
  </si>
  <si>
    <t>Психиатрия</t>
  </si>
  <si>
    <t>31.08.21</t>
  </si>
  <si>
    <t>Психиатрия-наркология</t>
  </si>
  <si>
    <t>31.08.22</t>
  </si>
  <si>
    <t>Психотерапия</t>
  </si>
  <si>
    <t>31.08.23</t>
  </si>
  <si>
    <t>Сексология</t>
  </si>
  <si>
    <t>31.08.24</t>
  </si>
  <si>
    <t>Судебно-психиатрическая экспертиза</t>
  </si>
  <si>
    <t>31.08.25</t>
  </si>
  <si>
    <t>Авиационная и космическая медицина</t>
  </si>
  <si>
    <t>31.08.26</t>
  </si>
  <si>
    <t>Аллергология и иммунология</t>
  </si>
  <si>
    <t>31.08.27</t>
  </si>
  <si>
    <t>Водолазная медицина</t>
  </si>
  <si>
    <t>31.08.28</t>
  </si>
  <si>
    <t>Гастроэнтерология</t>
  </si>
  <si>
    <t>31.08.29</t>
  </si>
  <si>
    <t>Гематология</t>
  </si>
  <si>
    <t>31.08.30</t>
  </si>
  <si>
    <t>Генетика</t>
  </si>
  <si>
    <t>31.08.31</t>
  </si>
  <si>
    <t>Гериатрия</t>
  </si>
  <si>
    <t>31.08.32</t>
  </si>
  <si>
    <t>Дерматовенерология</t>
  </si>
  <si>
    <t>31.08.33</t>
  </si>
  <si>
    <t>Диабетология</t>
  </si>
  <si>
    <t>31.08.34</t>
  </si>
  <si>
    <t>Диетология</t>
  </si>
  <si>
    <t>31.08.35</t>
  </si>
  <si>
    <t>Инфекционные болезни</t>
  </si>
  <si>
    <t>31.08.36</t>
  </si>
  <si>
    <t>Кардиология</t>
  </si>
  <si>
    <t>31.08.37</t>
  </si>
  <si>
    <t>Клиническая фармакология</t>
  </si>
  <si>
    <t>31.08.38</t>
  </si>
  <si>
    <t>Косметология</t>
  </si>
  <si>
    <t>31.08.39</t>
  </si>
  <si>
    <t>Лечебная физкультура и спортивная медицина</t>
  </si>
  <si>
    <t>31.08.40</t>
  </si>
  <si>
    <t>Мануальная терапия</t>
  </si>
  <si>
    <t>31.08.41</t>
  </si>
  <si>
    <t>Медико-социальная экспертиза</t>
  </si>
  <si>
    <t>31.08.42</t>
  </si>
  <si>
    <t>Неврология</t>
  </si>
  <si>
    <t>31.08.43</t>
  </si>
  <si>
    <t>Нефрология</t>
  </si>
  <si>
    <t>31.08.44</t>
  </si>
  <si>
    <t>Профпатология</t>
  </si>
  <si>
    <t>31.08.45</t>
  </si>
  <si>
    <t>Пульмонология</t>
  </si>
  <si>
    <t>31.08.46</t>
  </si>
  <si>
    <t>Ревматология</t>
  </si>
  <si>
    <t>31.08.47</t>
  </si>
  <si>
    <t>Рефлексотерапия</t>
  </si>
  <si>
    <t>31.08.48</t>
  </si>
  <si>
    <t>Скорая медицинская помощь</t>
  </si>
  <si>
    <t>31.08.49</t>
  </si>
  <si>
    <t>Терапия</t>
  </si>
  <si>
    <t>31.08.50</t>
  </si>
  <si>
    <t>Физиотерапия</t>
  </si>
  <si>
    <t>31.08.51</t>
  </si>
  <si>
    <t>Фтизиатрия</t>
  </si>
  <si>
    <t>31.08.52</t>
  </si>
  <si>
    <t>Остеопатия</t>
  </si>
  <si>
    <t>31.08.53</t>
  </si>
  <si>
    <t>Эндокринология</t>
  </si>
  <si>
    <t>31.08.54</t>
  </si>
  <si>
    <t>Общая врачебная практика (семейная медицина)</t>
  </si>
  <si>
    <t>31.08.55</t>
  </si>
  <si>
    <t>Колопроктология</t>
  </si>
  <si>
    <t>31.08.56</t>
  </si>
  <si>
    <t>Нейрохирургия</t>
  </si>
  <si>
    <t>31.08.57</t>
  </si>
  <si>
    <t>Онкология</t>
  </si>
  <si>
    <t>31.08.58</t>
  </si>
  <si>
    <t>Оториноларингология</t>
  </si>
  <si>
    <t>31.08.59</t>
  </si>
  <si>
    <t>Офтальмология</t>
  </si>
  <si>
    <t>31.08.60</t>
  </si>
  <si>
    <t>Пластическая хирургия</t>
  </si>
  <si>
    <t>31.08.61</t>
  </si>
  <si>
    <t>Радиотерапия</t>
  </si>
  <si>
    <t>31.08.62</t>
  </si>
  <si>
    <t>Рентгенэндоваскулярные диагностика и лечение</t>
  </si>
  <si>
    <t>31.08.63</t>
  </si>
  <si>
    <t>Сердечно-сосудистая хирургия</t>
  </si>
  <si>
    <t>31.08.64</t>
  </si>
  <si>
    <t>Сурдология-оториноларингология</t>
  </si>
  <si>
    <t>31.08.65</t>
  </si>
  <si>
    <t>Торакальная хирургия</t>
  </si>
  <si>
    <t>31.08.66</t>
  </si>
  <si>
    <t>Травматология и ортопедия</t>
  </si>
  <si>
    <t>31.08.67</t>
  </si>
  <si>
    <t>Хирургия</t>
  </si>
  <si>
    <t>31.08.68</t>
  </si>
  <si>
    <t>Урология</t>
  </si>
  <si>
    <t>31.08.69</t>
  </si>
  <si>
    <t>Челюстно-лицевая хирургия</t>
  </si>
  <si>
    <t>31.08.70</t>
  </si>
  <si>
    <t>Эндоскопия</t>
  </si>
  <si>
    <t>31.08.71</t>
  </si>
  <si>
    <t>Организация здравоохранения и общественное здоровье</t>
  </si>
  <si>
    <t>31.08.72</t>
  </si>
  <si>
    <t>Стоматология общей практики</t>
  </si>
  <si>
    <t>31.08.73</t>
  </si>
  <si>
    <t>Стоматология терапевтическая</t>
  </si>
  <si>
    <t>31.08.74</t>
  </si>
  <si>
    <t>Стоматология хирургическая</t>
  </si>
  <si>
    <t>31.08.75</t>
  </si>
  <si>
    <t>31.08.76</t>
  </si>
  <si>
    <t>Стоматология детская</t>
  </si>
  <si>
    <t>31.08.77</t>
  </si>
  <si>
    <t>Ортодонтия</t>
  </si>
  <si>
    <t>32.00.00</t>
  </si>
  <si>
    <t>НАУКИ О ЗДОРОВЬЕ И ПРОФИЛАКТИЧЕСКАЯ МЕДИЦИНА</t>
  </si>
  <si>
    <t>32.02.01</t>
  </si>
  <si>
    <t>Медико-профилактическое дело</t>
  </si>
  <si>
    <t>Общественное здравоохранение</t>
  </si>
  <si>
    <t>32.05.01</t>
  </si>
  <si>
    <t>32.08.03</t>
  </si>
  <si>
    <t>Гигиена труда</t>
  </si>
  <si>
    <t>33.00.00</t>
  </si>
  <si>
    <t>ФАРМАЦИЯ</t>
  </si>
  <si>
    <t>Фармация</t>
  </si>
  <si>
    <t>33.05.01</t>
  </si>
  <si>
    <t>33.06.01</t>
  </si>
  <si>
    <t>33.08.01</t>
  </si>
  <si>
    <t>Фармацевтическая технология</t>
  </si>
  <si>
    <t>33.08.02</t>
  </si>
  <si>
    <t>Управление и экономика фармации</t>
  </si>
  <si>
    <t>33.08.03</t>
  </si>
  <si>
    <t>Фармацевимческая химия и фармакогнозия</t>
  </si>
  <si>
    <t>34.00.00</t>
  </si>
  <si>
    <t>СЕСТРИНСКОЕ ДЕЛО</t>
  </si>
  <si>
    <t>34.01.01</t>
  </si>
  <si>
    <t>Младшая медицинская сестра по уходу за больными</t>
  </si>
  <si>
    <t>Сестринское дело</t>
  </si>
  <si>
    <t>34.02.02</t>
  </si>
  <si>
    <t>Медицинский массаж (для обучения лиц с ограниченными возможностями здоровья по зрению)</t>
  </si>
  <si>
    <t>34.03.01</t>
  </si>
  <si>
    <t>36.00.00</t>
  </si>
  <si>
    <t>ВЕТЕРИНАРИЯ И ЗООТЕХНИЯ</t>
  </si>
  <si>
    <t>36.05.01</t>
  </si>
  <si>
    <t>Ветеринария</t>
  </si>
  <si>
    <t>37.00.00</t>
  </si>
  <si>
    <t>ПСИХОЛОГИЧЕСКИЕ НАУКИ</t>
  </si>
  <si>
    <t>37.03.01</t>
  </si>
  <si>
    <t>37.03.02</t>
  </si>
  <si>
    <t>Конфликтология</t>
  </si>
  <si>
    <t>37.04.01</t>
  </si>
  <si>
    <t>37.04.02</t>
  </si>
  <si>
    <t>37.05.01</t>
  </si>
  <si>
    <t>Клиническая психология</t>
  </si>
  <si>
    <t>37.05.02</t>
  </si>
  <si>
    <t>Психология служебной деятельности</t>
  </si>
  <si>
    <t>37.06.01</t>
  </si>
  <si>
    <t>Психологические науки</t>
  </si>
  <si>
    <t>38.00.00</t>
  </si>
  <si>
    <t>ЭКОНОМИКА И УПРАВЛЕНИЕ</t>
  </si>
  <si>
    <t>38.03.01</t>
  </si>
  <si>
    <t>Экономика</t>
  </si>
  <si>
    <t>38.04.01</t>
  </si>
  <si>
    <t>39.00.00</t>
  </si>
  <si>
    <t>СОЦИОЛОГИЯ И СОЦИАЛЬНАЯ РАБОТА</t>
  </si>
  <si>
    <t>39.02.01</t>
  </si>
  <si>
    <t>Социальная работа</t>
  </si>
  <si>
    <t>39.03.01</t>
  </si>
  <si>
    <t>Социология</t>
  </si>
  <si>
    <t>39.03.02</t>
  </si>
  <si>
    <t>39.03.03</t>
  </si>
  <si>
    <t>Организация работы с молодежью</t>
  </si>
  <si>
    <t>39.04.01</t>
  </si>
  <si>
    <t>39.04.02</t>
  </si>
  <si>
    <t>40.00.00</t>
  </si>
  <si>
    <t>ЮРИСПРУДЕНЦИЯ</t>
  </si>
  <si>
    <t>40.02.02</t>
  </si>
  <si>
    <t>Правоохранительная деятельность</t>
  </si>
  <si>
    <t>40.03.01</t>
  </si>
  <si>
    <t>Юриспруденция</t>
  </si>
  <si>
    <t>40.04.01</t>
  </si>
  <si>
    <t>40.05.01</t>
  </si>
  <si>
    <t>Правовое обеспечение национальной безопасности</t>
  </si>
  <si>
    <t>40.05.03</t>
  </si>
  <si>
    <t>Судебная экспертиза</t>
  </si>
  <si>
    <t>43.00.00</t>
  </si>
  <si>
    <t>СЕРВИС И ТУРИЗМ</t>
  </si>
  <si>
    <t>43.02.12</t>
  </si>
  <si>
    <t>Технология эстетических услуг</t>
  </si>
  <si>
    <t>43.03.01</t>
  </si>
  <si>
    <t>Сервис</t>
  </si>
  <si>
    <t>43.03.03</t>
  </si>
  <si>
    <t>Гостиничное дело</t>
  </si>
  <si>
    <t>43.04.01</t>
  </si>
  <si>
    <t>43.04.03</t>
  </si>
  <si>
    <t>44.00.00</t>
  </si>
  <si>
    <t>ОБРАЗОВАНИЕ И ПЕДАГОГИЧЕСКИЕ НАУКИ</t>
  </si>
  <si>
    <t>44.02.01</t>
  </si>
  <si>
    <t>Дошкольное образование</t>
  </si>
  <si>
    <t>44.02.02</t>
  </si>
  <si>
    <t>Преподавание в начальных классах</t>
  </si>
  <si>
    <t>44.02.03</t>
  </si>
  <si>
    <t>Педагогика дополнительного образования</t>
  </si>
  <si>
    <t>44.02.04</t>
  </si>
  <si>
    <t>Специальное дошкольное образование</t>
  </si>
  <si>
    <t>44.02.05</t>
  </si>
  <si>
    <t>Коррекционная педагогика в начальном образовании</t>
  </si>
  <si>
    <t>44.02.06</t>
  </si>
  <si>
    <t>Профессиональное обучение (по отраслям)</t>
  </si>
  <si>
    <t>44.03.01</t>
  </si>
  <si>
    <t>Педагогическое образование</t>
  </si>
  <si>
    <t>44.03.02</t>
  </si>
  <si>
    <t>Психолого-педагогическое образование</t>
  </si>
  <si>
    <t>44.03.03</t>
  </si>
  <si>
    <t>Специальное (дефектологическое) образование</t>
  </si>
  <si>
    <t>44.03.04</t>
  </si>
  <si>
    <t>44.03.05</t>
  </si>
  <si>
    <t>Педагогическое образование (с двумя профилями подготовки)</t>
  </si>
  <si>
    <t>44.04.01</t>
  </si>
  <si>
    <t>44.04.03</t>
  </si>
  <si>
    <t>44.05.01</t>
  </si>
  <si>
    <t>Педагогика и психология девиантного поведения</t>
  </si>
  <si>
    <t>49.00.00</t>
  </si>
  <si>
    <t>ФИЗИЧЕСКАЯ КУЛЬТУРА И СПОРТ</t>
  </si>
  <si>
    <t>49.02.01</t>
  </si>
  <si>
    <t>Физическая культура</t>
  </si>
  <si>
    <t>49.02.02</t>
  </si>
  <si>
    <t>Адаптивная физическая культура</t>
  </si>
  <si>
    <t>49.03.01</t>
  </si>
  <si>
    <t>49.03.02</t>
  </si>
  <si>
    <t>Физическая культура для лиц с отклонениями в состоянии здоровья (адаптивная физическая культура)</t>
  </si>
  <si>
    <t>49.03.03</t>
  </si>
  <si>
    <t>Рекреация и спортивно-оздоровительный туризм</t>
  </si>
  <si>
    <t>49.04.01</t>
  </si>
  <si>
    <t>49.04.02</t>
  </si>
  <si>
    <t>49.04.03</t>
  </si>
  <si>
    <t>Спорт</t>
  </si>
  <si>
    <t>49.06.01</t>
  </si>
  <si>
    <t>Физическая культура и спорт</t>
  </si>
  <si>
    <t>49.07.01</t>
  </si>
  <si>
    <t>51.00.00</t>
  </si>
  <si>
    <t>КУЛЬТУРОВЕДЕНИЕ И СОЦИОКУЛЬТУРНЫЕ ПРОЕКТЫ</t>
  </si>
  <si>
    <t>51.03.01</t>
  </si>
  <si>
    <t>Культурология</t>
  </si>
  <si>
    <t>52.00.00</t>
  </si>
  <si>
    <t>СЦЕНИЧЕСКИЕ ИСКУССТВА И ЛИТЕРАТУРНОЕ ТВОРЧЕСТВО</t>
  </si>
  <si>
    <t>52.03.01</t>
  </si>
  <si>
    <t>Хореографическое искусство</t>
  </si>
</sst>
</file>

<file path=xl/styles.xml><?xml version="1.0" encoding="utf-8"?>
<styleSheet xmlns="http://schemas.openxmlformats.org/spreadsheetml/2006/main">
  <numFmts count="1">
    <numFmt numFmtId="164" formatCode="[=0]&quot;&quot;;General"/>
  </numFmts>
  <fonts count="12">
    <font>
      <sz val="8"/>
      <name val="Arial"/>
    </font>
    <font>
      <b/>
      <sz val="11"/>
      <color rgb="FF000000"/>
      <name val="Calibri"/>
      <charset val="204"/>
    </font>
    <font>
      <b/>
      <sz val="16"/>
      <color rgb="FF000000"/>
      <name val="Calibri"/>
      <charset val="204"/>
    </font>
    <font>
      <b/>
      <u/>
      <sz val="11"/>
      <color rgb="FF000000"/>
      <name val="Calibri"/>
      <charset val="204"/>
    </font>
    <font>
      <sz val="11"/>
      <color rgb="FF000000"/>
      <name val="Calibri"/>
      <charset val="204"/>
    </font>
    <font>
      <u/>
      <sz val="11"/>
      <color rgb="FF0000FF"/>
      <name val="Calibri"/>
      <charset val="204"/>
    </font>
    <font>
      <sz val="8"/>
      <color rgb="FF000000"/>
      <name val="Arial"/>
      <charset val="204"/>
    </font>
    <font>
      <b/>
      <sz val="8"/>
      <color rgb="FF000000"/>
      <name val="Arial"/>
      <charset val="204"/>
    </font>
    <font>
      <u/>
      <sz val="8"/>
      <color rgb="FF0000FF"/>
      <name val="Calibri"/>
      <charset val="204"/>
    </font>
    <font>
      <b/>
      <sz val="12"/>
      <name val="Arial"/>
      <family val="2"/>
    </font>
    <font>
      <sz val="10"/>
      <name val="Arial"/>
      <family val="2"/>
    </font>
    <font>
      <u/>
      <sz val="8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AFAD2"/>
        <bgColor auto="1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0" fillId="0" borderId="0" xfId="0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1" xfId="1" applyBorder="1" applyAlignment="1" applyProtection="1">
      <alignment horizontal="left" wrapText="1"/>
    </xf>
    <xf numFmtId="0" fontId="11" fillId="0" borderId="4" xfId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AA452"/>
  <sheetViews>
    <sheetView tabSelected="1" workbookViewId="0">
      <selection sqref="A1:E1"/>
    </sheetView>
  </sheetViews>
  <sheetFormatPr defaultColWidth="10.5" defaultRowHeight="11.45" customHeight="1"/>
  <cols>
    <col min="1" max="1" width="5.83203125" style="1" customWidth="1"/>
    <col min="2" max="2" width="13.83203125" style="1" customWidth="1"/>
    <col min="3" max="3" width="10.5" style="1" customWidth="1"/>
    <col min="4" max="4" width="53.5" style="1" customWidth="1"/>
    <col min="5" max="5" width="52.6640625" style="1" customWidth="1"/>
    <col min="6" max="6" width="21" style="1" customWidth="1"/>
    <col min="7" max="7" width="13" style="1" customWidth="1"/>
    <col min="8" max="8" width="19.33203125" style="1" customWidth="1"/>
    <col min="9" max="9" width="33.6640625" style="1" customWidth="1"/>
    <col min="10" max="10" width="6.33203125" style="1" customWidth="1"/>
    <col min="11" max="11" width="8.5" style="1" customWidth="1"/>
    <col min="12" max="12" width="8.1640625" style="1" customWidth="1"/>
    <col min="13" max="13" width="21.1640625" style="1" customWidth="1"/>
    <col min="14" max="14" width="43.5" style="1" customWidth="1"/>
    <col min="15" max="15" width="35.5" style="1" customWidth="1"/>
    <col min="16" max="16" width="34" style="1" customWidth="1"/>
    <col min="17" max="17" width="38.1640625" style="1" customWidth="1"/>
    <col min="18" max="19" width="10.5" style="1" customWidth="1"/>
    <col min="20" max="20" width="15.33203125" style="1" customWidth="1"/>
    <col min="21" max="21" width="15.1640625" style="1" customWidth="1"/>
    <col min="22" max="22" width="20.33203125" style="1" customWidth="1"/>
    <col min="23" max="23" width="55.83203125" style="1" customWidth="1"/>
    <col min="24" max="27" width="10.5" style="1" customWidth="1"/>
  </cols>
  <sheetData>
    <row r="1" spans="1:27" s="1" customFormat="1" ht="15" customHeight="1">
      <c r="A1" s="16" t="s">
        <v>0</v>
      </c>
      <c r="B1" s="16"/>
      <c r="C1" s="16"/>
      <c r="D1" s="16"/>
      <c r="E1" s="16"/>
      <c r="F1" s="17" t="s">
        <v>1</v>
      </c>
      <c r="G1" s="17"/>
      <c r="H1" s="17"/>
      <c r="I1" s="17"/>
      <c r="J1" s="19" t="s">
        <v>2</v>
      </c>
      <c r="K1" s="19"/>
      <c r="L1" s="19"/>
      <c r="M1" s="19"/>
      <c r="N1" s="19"/>
      <c r="O1" s="19"/>
    </row>
    <row r="2" spans="1:27" s="1" customFormat="1" ht="15" customHeight="1">
      <c r="A2" s="20" t="s">
        <v>3</v>
      </c>
      <c r="B2" s="20"/>
      <c r="C2" s="20"/>
      <c r="D2" s="20"/>
      <c r="E2" s="20"/>
      <c r="F2" s="18"/>
      <c r="G2" s="18"/>
      <c r="H2" s="18"/>
      <c r="I2" s="18"/>
      <c r="J2" s="21" t="s">
        <v>4</v>
      </c>
      <c r="K2" s="21"/>
      <c r="L2" s="21"/>
      <c r="M2" s="21"/>
      <c r="N2" s="21"/>
      <c r="O2" s="21"/>
    </row>
    <row r="3" spans="1:27" s="1" customFormat="1" ht="15" customHeight="1">
      <c r="A3" s="20" t="s">
        <v>5</v>
      </c>
      <c r="B3" s="20"/>
      <c r="C3" s="20"/>
      <c r="D3" s="20"/>
      <c r="E3" s="20"/>
      <c r="F3" s="18"/>
      <c r="G3" s="18"/>
      <c r="H3" s="18"/>
      <c r="I3" s="18"/>
      <c r="J3" s="22"/>
      <c r="K3" s="22"/>
      <c r="L3" s="22"/>
      <c r="M3" s="22"/>
      <c r="N3" s="22"/>
      <c r="O3" s="22"/>
    </row>
    <row r="4" spans="1:27" s="1" customFormat="1" ht="15" customHeight="1">
      <c r="A4" s="26" t="str">
        <f>HYPERLINK("mailto:books@infra-m.ru", "mailto:books@infra-m.ru")</f>
        <v>mailto:books@infra-m.ru</v>
      </c>
      <c r="B4" s="23"/>
      <c r="C4" s="23"/>
      <c r="D4" s="23"/>
      <c r="E4" s="23"/>
      <c r="F4" s="18"/>
      <c r="G4" s="18"/>
      <c r="H4" s="18"/>
      <c r="I4" s="18"/>
      <c r="J4" s="22"/>
      <c r="K4" s="22"/>
      <c r="L4" s="22"/>
      <c r="M4" s="22"/>
      <c r="N4" s="22"/>
      <c r="O4" s="22"/>
    </row>
    <row r="5" spans="1:27" s="1" customFormat="1" ht="15" customHeight="1">
      <c r="A5" s="26" t="str">
        <f>HYPERLINK("https://infra-m.ru", "https://infra-m.ru")</f>
        <v>https://infra-m.ru</v>
      </c>
      <c r="B5" s="23"/>
      <c r="C5" s="23"/>
      <c r="D5" s="23"/>
      <c r="E5" s="23"/>
      <c r="F5" s="18"/>
      <c r="G5" s="18"/>
      <c r="H5" s="18"/>
      <c r="I5" s="18"/>
      <c r="J5" s="22"/>
      <c r="K5" s="22"/>
      <c r="L5" s="22"/>
      <c r="M5" s="22"/>
      <c r="N5" s="22"/>
      <c r="O5" s="22"/>
    </row>
    <row r="6" spans="1:27" s="1" customFormat="1" ht="11.1" customHeight="1"/>
    <row r="7" spans="1:27" s="2" customFormat="1" ht="21.95" customHeight="1">
      <c r="A7" s="3" t="s">
        <v>6</v>
      </c>
      <c r="B7" s="3" t="s">
        <v>7</v>
      </c>
      <c r="C7" s="3" t="s">
        <v>8</v>
      </c>
      <c r="D7" s="3" t="s">
        <v>9</v>
      </c>
      <c r="E7" s="3" t="s">
        <v>10</v>
      </c>
      <c r="F7" s="3" t="s">
        <v>11</v>
      </c>
      <c r="G7" s="3" t="s">
        <v>12</v>
      </c>
      <c r="H7" s="3" t="s">
        <v>13</v>
      </c>
      <c r="I7" s="3" t="s">
        <v>14</v>
      </c>
      <c r="J7" s="3" t="s">
        <v>15</v>
      </c>
      <c r="K7" s="3" t="s">
        <v>16</v>
      </c>
      <c r="L7" s="3" t="s">
        <v>17</v>
      </c>
      <c r="M7" s="3" t="s">
        <v>18</v>
      </c>
      <c r="N7" s="3" t="s">
        <v>19</v>
      </c>
      <c r="O7" s="3" t="s">
        <v>20</v>
      </c>
      <c r="P7" s="3" t="s">
        <v>21</v>
      </c>
      <c r="Q7" s="3" t="s">
        <v>22</v>
      </c>
      <c r="R7" s="3" t="s">
        <v>23</v>
      </c>
      <c r="S7" s="3" t="s">
        <v>24</v>
      </c>
      <c r="T7" s="3" t="s">
        <v>25</v>
      </c>
      <c r="U7" s="3" t="s">
        <v>26</v>
      </c>
      <c r="V7" s="3" t="s">
        <v>27</v>
      </c>
      <c r="W7" s="3" t="s">
        <v>28</v>
      </c>
      <c r="X7" s="3" t="s">
        <v>29</v>
      </c>
      <c r="Y7" s="3" t="s">
        <v>30</v>
      </c>
      <c r="Z7" s="3" t="s">
        <v>31</v>
      </c>
      <c r="AA7" s="3" t="s">
        <v>32</v>
      </c>
    </row>
    <row r="8" spans="1:27" s="4" customFormat="1" ht="42" customHeight="1">
      <c r="A8" s="5">
        <v>0</v>
      </c>
      <c r="B8" s="6" t="s">
        <v>33</v>
      </c>
      <c r="C8" s="7">
        <v>1140</v>
      </c>
      <c r="D8" s="8" t="s">
        <v>34</v>
      </c>
      <c r="E8" s="8" t="s">
        <v>35</v>
      </c>
      <c r="F8" s="8" t="s">
        <v>36</v>
      </c>
      <c r="G8" s="6" t="s">
        <v>37</v>
      </c>
      <c r="H8" s="6" t="s">
        <v>38</v>
      </c>
      <c r="I8" s="8" t="s">
        <v>39</v>
      </c>
      <c r="J8" s="9">
        <v>1</v>
      </c>
      <c r="K8" s="9">
        <v>214</v>
      </c>
      <c r="L8" s="9">
        <v>2023</v>
      </c>
      <c r="M8" s="8" t="s">
        <v>40</v>
      </c>
      <c r="N8" s="8" t="s">
        <v>41</v>
      </c>
      <c r="O8" s="8" t="s">
        <v>42</v>
      </c>
      <c r="P8" s="6" t="s">
        <v>43</v>
      </c>
      <c r="Q8" s="8" t="s">
        <v>44</v>
      </c>
      <c r="R8" s="10" t="s">
        <v>45</v>
      </c>
      <c r="S8" s="11"/>
      <c r="T8" s="6"/>
      <c r="U8" s="27" t="str">
        <f>HYPERLINK("https://media.infra-m.ru/2021/2021364/cover/2021364.jpg", "Обложка")</f>
        <v>Обложка</v>
      </c>
      <c r="V8" s="27" t="str">
        <f>HYPERLINK("https://znanium.com/catalog/product/2021364", "Ознакомиться")</f>
        <v>Ознакомиться</v>
      </c>
      <c r="W8" s="8" t="s">
        <v>46</v>
      </c>
      <c r="X8" s="6" t="s">
        <v>47</v>
      </c>
      <c r="Y8" s="6"/>
      <c r="Z8" s="6"/>
      <c r="AA8" s="6" t="s">
        <v>48</v>
      </c>
    </row>
    <row r="9" spans="1:27" s="4" customFormat="1" ht="44.1" customHeight="1">
      <c r="A9" s="5">
        <v>0</v>
      </c>
      <c r="B9" s="6" t="s">
        <v>49</v>
      </c>
      <c r="C9" s="13">
        <v>650</v>
      </c>
      <c r="D9" s="8" t="s">
        <v>50</v>
      </c>
      <c r="E9" s="8" t="s">
        <v>51</v>
      </c>
      <c r="F9" s="8" t="s">
        <v>52</v>
      </c>
      <c r="G9" s="6" t="s">
        <v>53</v>
      </c>
      <c r="H9" s="6" t="s">
        <v>38</v>
      </c>
      <c r="I9" s="8" t="s">
        <v>54</v>
      </c>
      <c r="J9" s="9">
        <v>1</v>
      </c>
      <c r="K9" s="9">
        <v>143</v>
      </c>
      <c r="L9" s="9">
        <v>2023</v>
      </c>
      <c r="M9" s="8" t="s">
        <v>55</v>
      </c>
      <c r="N9" s="8" t="s">
        <v>41</v>
      </c>
      <c r="O9" s="8" t="s">
        <v>42</v>
      </c>
      <c r="P9" s="6" t="s">
        <v>56</v>
      </c>
      <c r="Q9" s="8" t="s">
        <v>57</v>
      </c>
      <c r="R9" s="10" t="s">
        <v>58</v>
      </c>
      <c r="S9" s="11"/>
      <c r="T9" s="6"/>
      <c r="U9" s="27" t="str">
        <f>HYPERLINK("https://media.infra-m.ru/2016/2016231/cover/2016231.jpg", "Обложка")</f>
        <v>Обложка</v>
      </c>
      <c r="V9" s="27" t="str">
        <f>HYPERLINK("https://znanium.com/catalog/product/2016231", "Ознакомиться")</f>
        <v>Ознакомиться</v>
      </c>
      <c r="W9" s="8" t="s">
        <v>59</v>
      </c>
      <c r="X9" s="6"/>
      <c r="Y9" s="6"/>
      <c r="Z9" s="6"/>
      <c r="AA9" s="6" t="s">
        <v>60</v>
      </c>
    </row>
    <row r="10" spans="1:27" s="4" customFormat="1" ht="42" customHeight="1">
      <c r="A10" s="5">
        <v>0</v>
      </c>
      <c r="B10" s="6" t="s">
        <v>61</v>
      </c>
      <c r="C10" s="13">
        <v>830</v>
      </c>
      <c r="D10" s="8" t="s">
        <v>62</v>
      </c>
      <c r="E10" s="8" t="s">
        <v>63</v>
      </c>
      <c r="F10" s="8" t="s">
        <v>64</v>
      </c>
      <c r="G10" s="6" t="s">
        <v>53</v>
      </c>
      <c r="H10" s="6" t="s">
        <v>65</v>
      </c>
      <c r="I10" s="8" t="s">
        <v>39</v>
      </c>
      <c r="J10" s="9">
        <v>1</v>
      </c>
      <c r="K10" s="9">
        <v>271</v>
      </c>
      <c r="L10" s="9">
        <v>2024</v>
      </c>
      <c r="M10" s="8" t="s">
        <v>66</v>
      </c>
      <c r="N10" s="8" t="s">
        <v>41</v>
      </c>
      <c r="O10" s="8" t="s">
        <v>42</v>
      </c>
      <c r="P10" s="6" t="s">
        <v>43</v>
      </c>
      <c r="Q10" s="8" t="s">
        <v>44</v>
      </c>
      <c r="R10" s="10" t="s">
        <v>67</v>
      </c>
      <c r="S10" s="11"/>
      <c r="T10" s="6"/>
      <c r="U10" s="27" t="str">
        <f>HYPERLINK("https://media.infra-m.ru/2081/2081025/cover/2081025.jpg", "Обложка")</f>
        <v>Обложка</v>
      </c>
      <c r="V10" s="27" t="str">
        <f>HYPERLINK("https://znanium.com/catalog/product/2081025", "Ознакомиться")</f>
        <v>Ознакомиться</v>
      </c>
      <c r="W10" s="8"/>
      <c r="X10" s="6"/>
      <c r="Y10" s="6"/>
      <c r="Z10" s="6"/>
      <c r="AA10" s="6" t="s">
        <v>68</v>
      </c>
    </row>
    <row r="11" spans="1:27" s="4" customFormat="1" ht="42" customHeight="1">
      <c r="A11" s="5">
        <v>0</v>
      </c>
      <c r="B11" s="6" t="s">
        <v>69</v>
      </c>
      <c r="C11" s="13">
        <v>670</v>
      </c>
      <c r="D11" s="8" t="s">
        <v>70</v>
      </c>
      <c r="E11" s="8" t="s">
        <v>71</v>
      </c>
      <c r="F11" s="8" t="s">
        <v>72</v>
      </c>
      <c r="G11" s="6" t="s">
        <v>53</v>
      </c>
      <c r="H11" s="6" t="s">
        <v>38</v>
      </c>
      <c r="I11" s="8" t="s">
        <v>73</v>
      </c>
      <c r="J11" s="9">
        <v>1</v>
      </c>
      <c r="K11" s="9">
        <v>148</v>
      </c>
      <c r="L11" s="9">
        <v>2023</v>
      </c>
      <c r="M11" s="8" t="s">
        <v>74</v>
      </c>
      <c r="N11" s="8" t="s">
        <v>41</v>
      </c>
      <c r="O11" s="8" t="s">
        <v>42</v>
      </c>
      <c r="P11" s="6" t="s">
        <v>75</v>
      </c>
      <c r="Q11" s="8" t="s">
        <v>76</v>
      </c>
      <c r="R11" s="10" t="s">
        <v>77</v>
      </c>
      <c r="S11" s="11"/>
      <c r="T11" s="6"/>
      <c r="U11" s="27" t="str">
        <f>HYPERLINK("https://media.infra-m.ru/2037/2037424/cover/2037424.jpg", "Обложка")</f>
        <v>Обложка</v>
      </c>
      <c r="V11" s="27" t="str">
        <f>HYPERLINK("https://znanium.com/catalog/product/2037424", "Ознакомиться")</f>
        <v>Ознакомиться</v>
      </c>
      <c r="W11" s="8"/>
      <c r="X11" s="6"/>
      <c r="Y11" s="6"/>
      <c r="Z11" s="6"/>
      <c r="AA11" s="6" t="s">
        <v>78</v>
      </c>
    </row>
    <row r="12" spans="1:27" s="4" customFormat="1" ht="42" customHeight="1">
      <c r="A12" s="5">
        <v>0</v>
      </c>
      <c r="B12" s="6" t="s">
        <v>79</v>
      </c>
      <c r="C12" s="13">
        <v>664.9</v>
      </c>
      <c r="D12" s="8" t="s">
        <v>80</v>
      </c>
      <c r="E12" s="8" t="s">
        <v>81</v>
      </c>
      <c r="F12" s="8" t="s">
        <v>82</v>
      </c>
      <c r="G12" s="6" t="s">
        <v>53</v>
      </c>
      <c r="H12" s="6" t="s">
        <v>38</v>
      </c>
      <c r="I12" s="8" t="s">
        <v>83</v>
      </c>
      <c r="J12" s="9">
        <v>1</v>
      </c>
      <c r="K12" s="9">
        <v>147</v>
      </c>
      <c r="L12" s="9">
        <v>2023</v>
      </c>
      <c r="M12" s="8" t="s">
        <v>84</v>
      </c>
      <c r="N12" s="8" t="s">
        <v>41</v>
      </c>
      <c r="O12" s="8" t="s">
        <v>42</v>
      </c>
      <c r="P12" s="6" t="s">
        <v>75</v>
      </c>
      <c r="Q12" s="8" t="s">
        <v>76</v>
      </c>
      <c r="R12" s="10" t="s">
        <v>77</v>
      </c>
      <c r="S12" s="11"/>
      <c r="T12" s="6"/>
      <c r="U12" s="27" t="str">
        <f>HYPERLINK("https://media.infra-m.ru/1964/1964966/cover/1964966.jpg", "Обложка")</f>
        <v>Обложка</v>
      </c>
      <c r="V12" s="27" t="str">
        <f>HYPERLINK("https://znanium.com/catalog/product/1005505", "Ознакомиться")</f>
        <v>Ознакомиться</v>
      </c>
      <c r="W12" s="8" t="s">
        <v>85</v>
      </c>
      <c r="X12" s="6"/>
      <c r="Y12" s="6"/>
      <c r="Z12" s="6"/>
      <c r="AA12" s="6" t="s">
        <v>86</v>
      </c>
    </row>
    <row r="13" spans="1:27" s="4" customFormat="1" ht="51.95" customHeight="1">
      <c r="A13" s="5">
        <v>0</v>
      </c>
      <c r="B13" s="6" t="s">
        <v>87</v>
      </c>
      <c r="C13" s="7">
        <v>1934.9</v>
      </c>
      <c r="D13" s="8" t="s">
        <v>88</v>
      </c>
      <c r="E13" s="8" t="s">
        <v>89</v>
      </c>
      <c r="F13" s="8" t="s">
        <v>90</v>
      </c>
      <c r="G13" s="6" t="s">
        <v>37</v>
      </c>
      <c r="H13" s="6" t="s">
        <v>38</v>
      </c>
      <c r="I13" s="8" t="s">
        <v>39</v>
      </c>
      <c r="J13" s="9">
        <v>1</v>
      </c>
      <c r="K13" s="9">
        <v>428</v>
      </c>
      <c r="L13" s="9">
        <v>2023</v>
      </c>
      <c r="M13" s="8" t="s">
        <v>91</v>
      </c>
      <c r="N13" s="8" t="s">
        <v>41</v>
      </c>
      <c r="O13" s="8" t="s">
        <v>42</v>
      </c>
      <c r="P13" s="6" t="s">
        <v>43</v>
      </c>
      <c r="Q13" s="8" t="s">
        <v>92</v>
      </c>
      <c r="R13" s="10" t="s">
        <v>93</v>
      </c>
      <c r="S13" s="11" t="s">
        <v>94</v>
      </c>
      <c r="T13" s="6"/>
      <c r="U13" s="27" t="str">
        <f>HYPERLINK("https://media.infra-m.ru/1915/1915975/cover/1915975.jpg", "Обложка")</f>
        <v>Обложка</v>
      </c>
      <c r="V13" s="27" t="str">
        <f>HYPERLINK("https://znanium.com/catalog/product/419619", "Ознакомиться")</f>
        <v>Ознакомиться</v>
      </c>
      <c r="W13" s="8" t="s">
        <v>95</v>
      </c>
      <c r="X13" s="6"/>
      <c r="Y13" s="6"/>
      <c r="Z13" s="6"/>
      <c r="AA13" s="6" t="s">
        <v>96</v>
      </c>
    </row>
    <row r="14" spans="1:27" s="4" customFormat="1" ht="51.95" customHeight="1">
      <c r="A14" s="5">
        <v>0</v>
      </c>
      <c r="B14" s="6" t="s">
        <v>97</v>
      </c>
      <c r="C14" s="13">
        <v>814</v>
      </c>
      <c r="D14" s="8" t="s">
        <v>98</v>
      </c>
      <c r="E14" s="8" t="s">
        <v>99</v>
      </c>
      <c r="F14" s="8" t="s">
        <v>100</v>
      </c>
      <c r="G14" s="6" t="s">
        <v>53</v>
      </c>
      <c r="H14" s="6" t="s">
        <v>38</v>
      </c>
      <c r="I14" s="8" t="s">
        <v>101</v>
      </c>
      <c r="J14" s="9">
        <v>1</v>
      </c>
      <c r="K14" s="9">
        <v>178</v>
      </c>
      <c r="L14" s="9">
        <v>2024</v>
      </c>
      <c r="M14" s="8" t="s">
        <v>102</v>
      </c>
      <c r="N14" s="8" t="s">
        <v>41</v>
      </c>
      <c r="O14" s="8" t="s">
        <v>42</v>
      </c>
      <c r="P14" s="6" t="s">
        <v>103</v>
      </c>
      <c r="Q14" s="8" t="s">
        <v>92</v>
      </c>
      <c r="R14" s="10" t="s">
        <v>104</v>
      </c>
      <c r="S14" s="11" t="s">
        <v>105</v>
      </c>
      <c r="T14" s="6"/>
      <c r="U14" s="27" t="str">
        <f>HYPERLINK("https://media.infra-m.ru/2106/2106213/cover/2106213.jpg", "Обложка")</f>
        <v>Обложка</v>
      </c>
      <c r="V14" s="27" t="str">
        <f>HYPERLINK("https://znanium.com/catalog/product/1911504", "Ознакомиться")</f>
        <v>Ознакомиться</v>
      </c>
      <c r="W14" s="8" t="s">
        <v>106</v>
      </c>
      <c r="X14" s="6"/>
      <c r="Y14" s="6"/>
      <c r="Z14" s="6"/>
      <c r="AA14" s="6" t="s">
        <v>107</v>
      </c>
    </row>
    <row r="15" spans="1:27" s="4" customFormat="1" ht="51.95" customHeight="1">
      <c r="A15" s="5">
        <v>0</v>
      </c>
      <c r="B15" s="6" t="s">
        <v>108</v>
      </c>
      <c r="C15" s="13">
        <v>824</v>
      </c>
      <c r="D15" s="8" t="s">
        <v>109</v>
      </c>
      <c r="E15" s="8" t="s">
        <v>99</v>
      </c>
      <c r="F15" s="8" t="s">
        <v>110</v>
      </c>
      <c r="G15" s="6" t="s">
        <v>111</v>
      </c>
      <c r="H15" s="6" t="s">
        <v>38</v>
      </c>
      <c r="I15" s="8" t="s">
        <v>112</v>
      </c>
      <c r="J15" s="9">
        <v>1</v>
      </c>
      <c r="K15" s="9">
        <v>178</v>
      </c>
      <c r="L15" s="9">
        <v>2024</v>
      </c>
      <c r="M15" s="8" t="s">
        <v>113</v>
      </c>
      <c r="N15" s="8" t="s">
        <v>41</v>
      </c>
      <c r="O15" s="8" t="s">
        <v>42</v>
      </c>
      <c r="P15" s="6" t="s">
        <v>103</v>
      </c>
      <c r="Q15" s="8" t="s">
        <v>114</v>
      </c>
      <c r="R15" s="10" t="s">
        <v>115</v>
      </c>
      <c r="S15" s="11" t="s">
        <v>116</v>
      </c>
      <c r="T15" s="6"/>
      <c r="U15" s="27" t="str">
        <f>HYPERLINK("https://media.infra-m.ru/2087/2087716/cover/2087716.jpg", "Обложка")</f>
        <v>Обложка</v>
      </c>
      <c r="V15" s="27" t="str">
        <f>HYPERLINK("https://znanium.com/catalog/product/1899026", "Ознакомиться")</f>
        <v>Ознакомиться</v>
      </c>
      <c r="W15" s="8" t="s">
        <v>106</v>
      </c>
      <c r="X15" s="6"/>
      <c r="Y15" s="6"/>
      <c r="Z15" s="6" t="s">
        <v>117</v>
      </c>
      <c r="AA15" s="6" t="s">
        <v>78</v>
      </c>
    </row>
    <row r="16" spans="1:27" s="4" customFormat="1" ht="51.95" customHeight="1">
      <c r="A16" s="5">
        <v>0</v>
      </c>
      <c r="B16" s="6" t="s">
        <v>118</v>
      </c>
      <c r="C16" s="13">
        <v>430</v>
      </c>
      <c r="D16" s="8" t="s">
        <v>119</v>
      </c>
      <c r="E16" s="8" t="s">
        <v>120</v>
      </c>
      <c r="F16" s="8" t="s">
        <v>121</v>
      </c>
      <c r="G16" s="6" t="s">
        <v>53</v>
      </c>
      <c r="H16" s="6" t="s">
        <v>38</v>
      </c>
      <c r="I16" s="8" t="s">
        <v>54</v>
      </c>
      <c r="J16" s="9">
        <v>1</v>
      </c>
      <c r="K16" s="9">
        <v>94</v>
      </c>
      <c r="L16" s="9">
        <v>2023</v>
      </c>
      <c r="M16" s="8" t="s">
        <v>122</v>
      </c>
      <c r="N16" s="8" t="s">
        <v>41</v>
      </c>
      <c r="O16" s="8" t="s">
        <v>42</v>
      </c>
      <c r="P16" s="6" t="s">
        <v>43</v>
      </c>
      <c r="Q16" s="8" t="s">
        <v>123</v>
      </c>
      <c r="R16" s="10" t="s">
        <v>124</v>
      </c>
      <c r="S16" s="11" t="s">
        <v>125</v>
      </c>
      <c r="T16" s="6"/>
      <c r="U16" s="27" t="str">
        <f>HYPERLINK("https://media.infra-m.ru/1917/1917696/cover/1917696.jpg", "Обложка")</f>
        <v>Обложка</v>
      </c>
      <c r="V16" s="27" t="str">
        <f>HYPERLINK("https://znanium.com/catalog/product/1917696", "Ознакомиться")</f>
        <v>Ознакомиться</v>
      </c>
      <c r="W16" s="8" t="s">
        <v>126</v>
      </c>
      <c r="X16" s="6"/>
      <c r="Y16" s="6"/>
      <c r="Z16" s="6"/>
      <c r="AA16" s="6" t="s">
        <v>60</v>
      </c>
    </row>
    <row r="17" spans="1:27" s="4" customFormat="1" ht="51.95" customHeight="1">
      <c r="A17" s="5">
        <v>0</v>
      </c>
      <c r="B17" s="6" t="s">
        <v>127</v>
      </c>
      <c r="C17" s="7">
        <v>2114</v>
      </c>
      <c r="D17" s="8" t="s">
        <v>128</v>
      </c>
      <c r="E17" s="8" t="s">
        <v>129</v>
      </c>
      <c r="F17" s="8" t="s">
        <v>130</v>
      </c>
      <c r="G17" s="6" t="s">
        <v>37</v>
      </c>
      <c r="H17" s="6" t="s">
        <v>131</v>
      </c>
      <c r="I17" s="8" t="s">
        <v>101</v>
      </c>
      <c r="J17" s="9">
        <v>1</v>
      </c>
      <c r="K17" s="9">
        <v>459</v>
      </c>
      <c r="L17" s="9">
        <v>2023</v>
      </c>
      <c r="M17" s="8" t="s">
        <v>132</v>
      </c>
      <c r="N17" s="8" t="s">
        <v>41</v>
      </c>
      <c r="O17" s="8" t="s">
        <v>42</v>
      </c>
      <c r="P17" s="6" t="s">
        <v>43</v>
      </c>
      <c r="Q17" s="8" t="s">
        <v>92</v>
      </c>
      <c r="R17" s="10" t="s">
        <v>133</v>
      </c>
      <c r="S17" s="11" t="s">
        <v>134</v>
      </c>
      <c r="T17" s="6"/>
      <c r="U17" s="27" t="str">
        <f>HYPERLINK("https://media.infra-m.ru/2065/2065556/cover/2065556.jpg", "Обложка")</f>
        <v>Обложка</v>
      </c>
      <c r="V17" s="27" t="str">
        <f>HYPERLINK("https://znanium.com/catalog/product/1915950", "Ознакомиться")</f>
        <v>Ознакомиться</v>
      </c>
      <c r="W17" s="8" t="s">
        <v>135</v>
      </c>
      <c r="X17" s="6"/>
      <c r="Y17" s="6"/>
      <c r="Z17" s="6"/>
      <c r="AA17" s="6" t="s">
        <v>96</v>
      </c>
    </row>
    <row r="18" spans="1:27" s="4" customFormat="1" ht="51.95" customHeight="1">
      <c r="A18" s="5">
        <v>0</v>
      </c>
      <c r="B18" s="6" t="s">
        <v>136</v>
      </c>
      <c r="C18" s="13">
        <v>730</v>
      </c>
      <c r="D18" s="8" t="s">
        <v>137</v>
      </c>
      <c r="E18" s="8" t="s">
        <v>138</v>
      </c>
      <c r="F18" s="8" t="s">
        <v>139</v>
      </c>
      <c r="G18" s="6" t="s">
        <v>53</v>
      </c>
      <c r="H18" s="6" t="s">
        <v>38</v>
      </c>
      <c r="I18" s="8" t="s">
        <v>73</v>
      </c>
      <c r="J18" s="9">
        <v>1</v>
      </c>
      <c r="K18" s="9">
        <v>157</v>
      </c>
      <c r="L18" s="9">
        <v>2024</v>
      </c>
      <c r="M18" s="8" t="s">
        <v>140</v>
      </c>
      <c r="N18" s="8" t="s">
        <v>41</v>
      </c>
      <c r="O18" s="8" t="s">
        <v>42</v>
      </c>
      <c r="P18" s="6" t="s">
        <v>75</v>
      </c>
      <c r="Q18" s="8" t="s">
        <v>76</v>
      </c>
      <c r="R18" s="10" t="s">
        <v>141</v>
      </c>
      <c r="S18" s="11"/>
      <c r="T18" s="6"/>
      <c r="U18" s="27" t="str">
        <f>HYPERLINK("https://media.infra-m.ru/2114/2114757/cover/2114757.jpg", "Обложка")</f>
        <v>Обложка</v>
      </c>
      <c r="V18" s="27" t="str">
        <f>HYPERLINK("https://znanium.com/catalog/product/2114757", "Ознакомиться")</f>
        <v>Ознакомиться</v>
      </c>
      <c r="W18" s="8" t="s">
        <v>142</v>
      </c>
      <c r="X18" s="6"/>
      <c r="Y18" s="6"/>
      <c r="Z18" s="6"/>
      <c r="AA18" s="6" t="s">
        <v>143</v>
      </c>
    </row>
    <row r="19" spans="1:27" s="4" customFormat="1" ht="42" customHeight="1">
      <c r="A19" s="5">
        <v>0</v>
      </c>
      <c r="B19" s="6" t="s">
        <v>144</v>
      </c>
      <c r="C19" s="13">
        <v>794</v>
      </c>
      <c r="D19" s="8" t="s">
        <v>145</v>
      </c>
      <c r="E19" s="8" t="s">
        <v>146</v>
      </c>
      <c r="F19" s="8" t="s">
        <v>147</v>
      </c>
      <c r="G19" s="6" t="s">
        <v>53</v>
      </c>
      <c r="H19" s="6" t="s">
        <v>38</v>
      </c>
      <c r="I19" s="8" t="s">
        <v>73</v>
      </c>
      <c r="J19" s="9">
        <v>1</v>
      </c>
      <c r="K19" s="9">
        <v>171</v>
      </c>
      <c r="L19" s="9">
        <v>2024</v>
      </c>
      <c r="M19" s="8" t="s">
        <v>148</v>
      </c>
      <c r="N19" s="8" t="s">
        <v>41</v>
      </c>
      <c r="O19" s="8" t="s">
        <v>42</v>
      </c>
      <c r="P19" s="6" t="s">
        <v>75</v>
      </c>
      <c r="Q19" s="8" t="s">
        <v>76</v>
      </c>
      <c r="R19" s="10" t="s">
        <v>149</v>
      </c>
      <c r="S19" s="11"/>
      <c r="T19" s="6"/>
      <c r="U19" s="27" t="str">
        <f>HYPERLINK("https://media.infra-m.ru/2108/2108470/cover/2108470.jpg", "Обложка")</f>
        <v>Обложка</v>
      </c>
      <c r="V19" s="27" t="str">
        <f>HYPERLINK("https://znanium.com/catalog/product/2096073", "Ознакомиться")</f>
        <v>Ознакомиться</v>
      </c>
      <c r="W19" s="8" t="s">
        <v>150</v>
      </c>
      <c r="X19" s="6"/>
      <c r="Y19" s="6"/>
      <c r="Z19" s="6"/>
      <c r="AA19" s="6" t="s">
        <v>151</v>
      </c>
    </row>
    <row r="20" spans="1:27" s="4" customFormat="1" ht="51.95" customHeight="1">
      <c r="A20" s="5">
        <v>0</v>
      </c>
      <c r="B20" s="6" t="s">
        <v>152</v>
      </c>
      <c r="C20" s="7">
        <v>1590</v>
      </c>
      <c r="D20" s="8" t="s">
        <v>153</v>
      </c>
      <c r="E20" s="8" t="s">
        <v>154</v>
      </c>
      <c r="F20" s="8" t="s">
        <v>155</v>
      </c>
      <c r="G20" s="6" t="s">
        <v>37</v>
      </c>
      <c r="H20" s="6" t="s">
        <v>38</v>
      </c>
      <c r="I20" s="8" t="s">
        <v>156</v>
      </c>
      <c r="J20" s="9">
        <v>1</v>
      </c>
      <c r="K20" s="9">
        <v>303</v>
      </c>
      <c r="L20" s="9">
        <v>2024</v>
      </c>
      <c r="M20" s="8" t="s">
        <v>157</v>
      </c>
      <c r="N20" s="8" t="s">
        <v>41</v>
      </c>
      <c r="O20" s="8" t="s">
        <v>42</v>
      </c>
      <c r="P20" s="6" t="s">
        <v>43</v>
      </c>
      <c r="Q20" s="8" t="s">
        <v>123</v>
      </c>
      <c r="R20" s="10" t="s">
        <v>158</v>
      </c>
      <c r="S20" s="11" t="s">
        <v>159</v>
      </c>
      <c r="T20" s="6"/>
      <c r="U20" s="27" t="str">
        <f>HYPERLINK("https://media.infra-m.ru/1859/1859896/cover/1859896.jpg", "Обложка")</f>
        <v>Обложка</v>
      </c>
      <c r="V20" s="27" t="str">
        <f>HYPERLINK("https://znanium.com/catalog/product/1859896", "Ознакомиться")</f>
        <v>Ознакомиться</v>
      </c>
      <c r="W20" s="8" t="s">
        <v>160</v>
      </c>
      <c r="X20" s="6" t="s">
        <v>47</v>
      </c>
      <c r="Y20" s="6"/>
      <c r="Z20" s="6"/>
      <c r="AA20" s="6" t="s">
        <v>161</v>
      </c>
    </row>
    <row r="21" spans="1:27" s="4" customFormat="1" ht="44.1" customHeight="1">
      <c r="A21" s="5">
        <v>0</v>
      </c>
      <c r="B21" s="6" t="s">
        <v>162</v>
      </c>
      <c r="C21" s="13">
        <v>700</v>
      </c>
      <c r="D21" s="8" t="s">
        <v>163</v>
      </c>
      <c r="E21" s="8" t="s">
        <v>164</v>
      </c>
      <c r="F21" s="8" t="s">
        <v>165</v>
      </c>
      <c r="G21" s="6" t="s">
        <v>53</v>
      </c>
      <c r="H21" s="6" t="s">
        <v>38</v>
      </c>
      <c r="I21" s="8" t="s">
        <v>73</v>
      </c>
      <c r="J21" s="9">
        <v>1</v>
      </c>
      <c r="K21" s="9">
        <v>152</v>
      </c>
      <c r="L21" s="9">
        <v>2024</v>
      </c>
      <c r="M21" s="8" t="s">
        <v>166</v>
      </c>
      <c r="N21" s="8" t="s">
        <v>41</v>
      </c>
      <c r="O21" s="8" t="s">
        <v>42</v>
      </c>
      <c r="P21" s="6" t="s">
        <v>75</v>
      </c>
      <c r="Q21" s="8" t="s">
        <v>76</v>
      </c>
      <c r="R21" s="10" t="s">
        <v>167</v>
      </c>
      <c r="S21" s="11"/>
      <c r="T21" s="6"/>
      <c r="U21" s="27" t="str">
        <f>HYPERLINK("https://media.infra-m.ru/2053/2053191/cover/2053191.jpg", "Обложка")</f>
        <v>Обложка</v>
      </c>
      <c r="V21" s="27" t="str">
        <f>HYPERLINK("https://znanium.com/catalog/product/2053191", "Ознакомиться")</f>
        <v>Ознакомиться</v>
      </c>
      <c r="W21" s="8" t="s">
        <v>142</v>
      </c>
      <c r="X21" s="6"/>
      <c r="Y21" s="6"/>
      <c r="Z21" s="6"/>
      <c r="AA21" s="6" t="s">
        <v>151</v>
      </c>
    </row>
    <row r="22" spans="1:27" s="4" customFormat="1" ht="42" customHeight="1">
      <c r="A22" s="5">
        <v>0</v>
      </c>
      <c r="B22" s="6" t="s">
        <v>168</v>
      </c>
      <c r="C22" s="13">
        <v>784.9</v>
      </c>
      <c r="D22" s="8" t="s">
        <v>169</v>
      </c>
      <c r="E22" s="8" t="s">
        <v>170</v>
      </c>
      <c r="F22" s="8" t="s">
        <v>171</v>
      </c>
      <c r="G22" s="6" t="s">
        <v>53</v>
      </c>
      <c r="H22" s="6" t="s">
        <v>38</v>
      </c>
      <c r="I22" s="8" t="s">
        <v>73</v>
      </c>
      <c r="J22" s="9">
        <v>1</v>
      </c>
      <c r="K22" s="9">
        <v>200</v>
      </c>
      <c r="L22" s="9">
        <v>2022</v>
      </c>
      <c r="M22" s="8" t="s">
        <v>172</v>
      </c>
      <c r="N22" s="8" t="s">
        <v>41</v>
      </c>
      <c r="O22" s="8" t="s">
        <v>42</v>
      </c>
      <c r="P22" s="6" t="s">
        <v>75</v>
      </c>
      <c r="Q22" s="8" t="s">
        <v>76</v>
      </c>
      <c r="R22" s="10" t="s">
        <v>77</v>
      </c>
      <c r="S22" s="11"/>
      <c r="T22" s="6"/>
      <c r="U22" s="27" t="str">
        <f>HYPERLINK("https://media.infra-m.ru/1859/1859043/cover/1859043.jpg", "Обложка")</f>
        <v>Обложка</v>
      </c>
      <c r="V22" s="27" t="str">
        <f>HYPERLINK("https://znanium.com/catalog/product/1044596", "Ознакомиться")</f>
        <v>Ознакомиться</v>
      </c>
      <c r="W22" s="8" t="s">
        <v>135</v>
      </c>
      <c r="X22" s="6"/>
      <c r="Y22" s="6"/>
      <c r="Z22" s="6"/>
      <c r="AA22" s="6" t="s">
        <v>78</v>
      </c>
    </row>
    <row r="23" spans="1:27" s="4" customFormat="1" ht="51.95" customHeight="1">
      <c r="A23" s="5">
        <v>0</v>
      </c>
      <c r="B23" s="6" t="s">
        <v>173</v>
      </c>
      <c r="C23" s="7">
        <v>1300</v>
      </c>
      <c r="D23" s="8" t="s">
        <v>174</v>
      </c>
      <c r="E23" s="8" t="s">
        <v>175</v>
      </c>
      <c r="F23" s="8" t="s">
        <v>176</v>
      </c>
      <c r="G23" s="6" t="s">
        <v>111</v>
      </c>
      <c r="H23" s="6" t="s">
        <v>38</v>
      </c>
      <c r="I23" s="8" t="s">
        <v>39</v>
      </c>
      <c r="J23" s="9">
        <v>1</v>
      </c>
      <c r="K23" s="9">
        <v>288</v>
      </c>
      <c r="L23" s="9">
        <v>2023</v>
      </c>
      <c r="M23" s="8" t="s">
        <v>177</v>
      </c>
      <c r="N23" s="8" t="s">
        <v>41</v>
      </c>
      <c r="O23" s="8" t="s">
        <v>42</v>
      </c>
      <c r="P23" s="6" t="s">
        <v>103</v>
      </c>
      <c r="Q23" s="8" t="s">
        <v>123</v>
      </c>
      <c r="R23" s="10" t="s">
        <v>178</v>
      </c>
      <c r="S23" s="11" t="s">
        <v>179</v>
      </c>
      <c r="T23" s="6"/>
      <c r="U23" s="27" t="str">
        <f>HYPERLINK("https://media.infra-m.ru/2045/2045882/cover/2045882.jpg", "Обложка")</f>
        <v>Обложка</v>
      </c>
      <c r="V23" s="27" t="str">
        <f>HYPERLINK("https://znanium.com/catalog/product/2045882", "Ознакомиться")</f>
        <v>Ознакомиться</v>
      </c>
      <c r="W23" s="8" t="s">
        <v>180</v>
      </c>
      <c r="X23" s="6"/>
      <c r="Y23" s="6"/>
      <c r="Z23" s="6"/>
      <c r="AA23" s="6" t="s">
        <v>181</v>
      </c>
    </row>
    <row r="24" spans="1:27" s="4" customFormat="1" ht="51.95" customHeight="1">
      <c r="A24" s="5">
        <v>0</v>
      </c>
      <c r="B24" s="6" t="s">
        <v>182</v>
      </c>
      <c r="C24" s="13">
        <v>794</v>
      </c>
      <c r="D24" s="8" t="s">
        <v>183</v>
      </c>
      <c r="E24" s="8" t="s">
        <v>184</v>
      </c>
      <c r="F24" s="8" t="s">
        <v>185</v>
      </c>
      <c r="G24" s="6" t="s">
        <v>111</v>
      </c>
      <c r="H24" s="6" t="s">
        <v>38</v>
      </c>
      <c r="I24" s="8" t="s">
        <v>112</v>
      </c>
      <c r="J24" s="9">
        <v>1</v>
      </c>
      <c r="K24" s="9">
        <v>172</v>
      </c>
      <c r="L24" s="9">
        <v>2024</v>
      </c>
      <c r="M24" s="8" t="s">
        <v>186</v>
      </c>
      <c r="N24" s="8" t="s">
        <v>41</v>
      </c>
      <c r="O24" s="8" t="s">
        <v>42</v>
      </c>
      <c r="P24" s="6" t="s">
        <v>43</v>
      </c>
      <c r="Q24" s="8" t="s">
        <v>114</v>
      </c>
      <c r="R24" s="10" t="s">
        <v>187</v>
      </c>
      <c r="S24" s="11" t="s">
        <v>188</v>
      </c>
      <c r="T24" s="6"/>
      <c r="U24" s="27" t="str">
        <f>HYPERLINK("https://media.infra-m.ru/2083/2083826/cover/2083826.jpg", "Обложка")</f>
        <v>Обложка</v>
      </c>
      <c r="V24" s="27" t="str">
        <f>HYPERLINK("https://znanium.com/catalog/product/1216385", "Ознакомиться")</f>
        <v>Ознакомиться</v>
      </c>
      <c r="W24" s="8" t="s">
        <v>189</v>
      </c>
      <c r="X24" s="6"/>
      <c r="Y24" s="6"/>
      <c r="Z24" s="6"/>
      <c r="AA24" s="6" t="s">
        <v>86</v>
      </c>
    </row>
    <row r="25" spans="1:27" s="4" customFormat="1" ht="42" customHeight="1">
      <c r="A25" s="5">
        <v>0</v>
      </c>
      <c r="B25" s="6" t="s">
        <v>190</v>
      </c>
      <c r="C25" s="13">
        <v>530</v>
      </c>
      <c r="D25" s="8" t="s">
        <v>191</v>
      </c>
      <c r="E25" s="8" t="s">
        <v>192</v>
      </c>
      <c r="F25" s="8" t="s">
        <v>193</v>
      </c>
      <c r="G25" s="6" t="s">
        <v>53</v>
      </c>
      <c r="H25" s="6" t="s">
        <v>38</v>
      </c>
      <c r="I25" s="8" t="s">
        <v>194</v>
      </c>
      <c r="J25" s="9">
        <v>1</v>
      </c>
      <c r="K25" s="9">
        <v>110</v>
      </c>
      <c r="L25" s="9">
        <v>2024</v>
      </c>
      <c r="M25" s="8" t="s">
        <v>195</v>
      </c>
      <c r="N25" s="8" t="s">
        <v>41</v>
      </c>
      <c r="O25" s="8" t="s">
        <v>42</v>
      </c>
      <c r="P25" s="6" t="s">
        <v>196</v>
      </c>
      <c r="Q25" s="8" t="s">
        <v>76</v>
      </c>
      <c r="R25" s="10" t="s">
        <v>197</v>
      </c>
      <c r="S25" s="11"/>
      <c r="T25" s="6"/>
      <c r="U25" s="27" t="str">
        <f>HYPERLINK("https://media.infra-m.ru/2030/2030818/cover/2030818.jpg", "Обложка")</f>
        <v>Обложка</v>
      </c>
      <c r="V25" s="27" t="str">
        <f>HYPERLINK("https://znanium.com/catalog/product/2030818", "Ознакомиться")</f>
        <v>Ознакомиться</v>
      </c>
      <c r="W25" s="8" t="s">
        <v>198</v>
      </c>
      <c r="X25" s="6"/>
      <c r="Y25" s="6"/>
      <c r="Z25" s="6"/>
      <c r="AA25" s="6" t="s">
        <v>143</v>
      </c>
    </row>
    <row r="26" spans="1:27" s="4" customFormat="1" ht="51.95" customHeight="1">
      <c r="A26" s="5">
        <v>0</v>
      </c>
      <c r="B26" s="6" t="s">
        <v>199</v>
      </c>
      <c r="C26" s="7">
        <v>1164</v>
      </c>
      <c r="D26" s="8" t="s">
        <v>200</v>
      </c>
      <c r="E26" s="8" t="s">
        <v>201</v>
      </c>
      <c r="F26" s="8" t="s">
        <v>193</v>
      </c>
      <c r="G26" s="6" t="s">
        <v>111</v>
      </c>
      <c r="H26" s="6" t="s">
        <v>38</v>
      </c>
      <c r="I26" s="8" t="s">
        <v>101</v>
      </c>
      <c r="J26" s="9">
        <v>1</v>
      </c>
      <c r="K26" s="9">
        <v>253</v>
      </c>
      <c r="L26" s="9">
        <v>2024</v>
      </c>
      <c r="M26" s="8" t="s">
        <v>202</v>
      </c>
      <c r="N26" s="8" t="s">
        <v>41</v>
      </c>
      <c r="O26" s="8" t="s">
        <v>42</v>
      </c>
      <c r="P26" s="6" t="s">
        <v>43</v>
      </c>
      <c r="Q26" s="8" t="s">
        <v>92</v>
      </c>
      <c r="R26" s="10" t="s">
        <v>203</v>
      </c>
      <c r="S26" s="11" t="s">
        <v>204</v>
      </c>
      <c r="T26" s="6"/>
      <c r="U26" s="27" t="str">
        <f>HYPERLINK("https://media.infra-m.ru/2058/2058769/cover/2058769.jpg", "Обложка")</f>
        <v>Обложка</v>
      </c>
      <c r="V26" s="27" t="str">
        <f>HYPERLINK("https://znanium.com/catalog/product/1911860", "Ознакомиться")</f>
        <v>Ознакомиться</v>
      </c>
      <c r="W26" s="8" t="s">
        <v>198</v>
      </c>
      <c r="X26" s="6"/>
      <c r="Y26" s="6"/>
      <c r="Z26" s="6"/>
      <c r="AA26" s="6" t="s">
        <v>205</v>
      </c>
    </row>
    <row r="27" spans="1:27" s="4" customFormat="1" ht="51.95" customHeight="1">
      <c r="A27" s="5">
        <v>0</v>
      </c>
      <c r="B27" s="6" t="s">
        <v>206</v>
      </c>
      <c r="C27" s="13">
        <v>840</v>
      </c>
      <c r="D27" s="8" t="s">
        <v>207</v>
      </c>
      <c r="E27" s="8" t="s">
        <v>208</v>
      </c>
      <c r="F27" s="8" t="s">
        <v>209</v>
      </c>
      <c r="G27" s="6" t="s">
        <v>111</v>
      </c>
      <c r="H27" s="6" t="s">
        <v>38</v>
      </c>
      <c r="I27" s="8"/>
      <c r="J27" s="9">
        <v>1</v>
      </c>
      <c r="K27" s="9">
        <v>186</v>
      </c>
      <c r="L27" s="9">
        <v>2023</v>
      </c>
      <c r="M27" s="8" t="s">
        <v>210</v>
      </c>
      <c r="N27" s="8" t="s">
        <v>41</v>
      </c>
      <c r="O27" s="8" t="s">
        <v>42</v>
      </c>
      <c r="P27" s="6" t="s">
        <v>75</v>
      </c>
      <c r="Q27" s="8" t="s">
        <v>76</v>
      </c>
      <c r="R27" s="10" t="s">
        <v>211</v>
      </c>
      <c r="S27" s="11"/>
      <c r="T27" s="6"/>
      <c r="U27" s="27" t="str">
        <f>HYPERLINK("https://media.infra-m.ru/1898/1898762/cover/1898762.jpg", "Обложка")</f>
        <v>Обложка</v>
      </c>
      <c r="V27" s="27" t="str">
        <f>HYPERLINK("https://znanium.com/catalog/product/1898762", "Ознакомиться")</f>
        <v>Ознакомиться</v>
      </c>
      <c r="W27" s="8" t="s">
        <v>212</v>
      </c>
      <c r="X27" s="6"/>
      <c r="Y27" s="6"/>
      <c r="Z27" s="6"/>
      <c r="AA27" s="6" t="s">
        <v>86</v>
      </c>
    </row>
    <row r="28" spans="1:27" s="4" customFormat="1" ht="51.95" customHeight="1">
      <c r="A28" s="5">
        <v>0</v>
      </c>
      <c r="B28" s="6" t="s">
        <v>213</v>
      </c>
      <c r="C28" s="7">
        <v>2390</v>
      </c>
      <c r="D28" s="8" t="s">
        <v>214</v>
      </c>
      <c r="E28" s="8" t="s">
        <v>215</v>
      </c>
      <c r="F28" s="8" t="s">
        <v>216</v>
      </c>
      <c r="G28" s="6" t="s">
        <v>111</v>
      </c>
      <c r="H28" s="6" t="s">
        <v>217</v>
      </c>
      <c r="I28" s="8"/>
      <c r="J28" s="9">
        <v>1</v>
      </c>
      <c r="K28" s="9">
        <v>344</v>
      </c>
      <c r="L28" s="9">
        <v>2023</v>
      </c>
      <c r="M28" s="8" t="s">
        <v>218</v>
      </c>
      <c r="N28" s="8" t="s">
        <v>41</v>
      </c>
      <c r="O28" s="8" t="s">
        <v>42</v>
      </c>
      <c r="P28" s="6" t="s">
        <v>43</v>
      </c>
      <c r="Q28" s="8" t="s">
        <v>92</v>
      </c>
      <c r="R28" s="10" t="s">
        <v>219</v>
      </c>
      <c r="S28" s="11" t="s">
        <v>220</v>
      </c>
      <c r="T28" s="6"/>
      <c r="U28" s="27" t="str">
        <f>HYPERLINK("https://media.infra-m.ru/1905/1905726/cover/1905726.jpg", "Обложка")</f>
        <v>Обложка</v>
      </c>
      <c r="V28" s="27" t="str">
        <f>HYPERLINK("https://znanium.com/catalog/product/1905726", "Ознакомиться")</f>
        <v>Ознакомиться</v>
      </c>
      <c r="W28" s="8"/>
      <c r="X28" s="6"/>
      <c r="Y28" s="6"/>
      <c r="Z28" s="6"/>
      <c r="AA28" s="6" t="s">
        <v>221</v>
      </c>
    </row>
    <row r="29" spans="1:27" s="4" customFormat="1" ht="42" customHeight="1">
      <c r="A29" s="5">
        <v>0</v>
      </c>
      <c r="B29" s="6" t="s">
        <v>222</v>
      </c>
      <c r="C29" s="13">
        <v>620</v>
      </c>
      <c r="D29" s="8" t="s">
        <v>223</v>
      </c>
      <c r="E29" s="8" t="s">
        <v>224</v>
      </c>
      <c r="F29" s="8" t="s">
        <v>225</v>
      </c>
      <c r="G29" s="6" t="s">
        <v>53</v>
      </c>
      <c r="H29" s="6" t="s">
        <v>226</v>
      </c>
      <c r="I29" s="8" t="s">
        <v>227</v>
      </c>
      <c r="J29" s="9">
        <v>1</v>
      </c>
      <c r="K29" s="9">
        <v>160</v>
      </c>
      <c r="L29" s="9">
        <v>2022</v>
      </c>
      <c r="M29" s="8" t="s">
        <v>228</v>
      </c>
      <c r="N29" s="8" t="s">
        <v>41</v>
      </c>
      <c r="O29" s="8" t="s">
        <v>42</v>
      </c>
      <c r="P29" s="6" t="s">
        <v>75</v>
      </c>
      <c r="Q29" s="8" t="s">
        <v>76</v>
      </c>
      <c r="R29" s="10" t="s">
        <v>229</v>
      </c>
      <c r="S29" s="11"/>
      <c r="T29" s="6"/>
      <c r="U29" s="27" t="str">
        <f>HYPERLINK("https://media.infra-m.ru/1857/1857236/cover/1857236.jpg", "Обложка")</f>
        <v>Обложка</v>
      </c>
      <c r="V29" s="27" t="str">
        <f>HYPERLINK("https://znanium.com/catalog/product/1857236", "Ознакомиться")</f>
        <v>Ознакомиться</v>
      </c>
      <c r="W29" s="8" t="s">
        <v>142</v>
      </c>
      <c r="X29" s="6"/>
      <c r="Y29" s="6"/>
      <c r="Z29" s="6"/>
      <c r="AA29" s="6" t="s">
        <v>107</v>
      </c>
    </row>
    <row r="30" spans="1:27" s="4" customFormat="1" ht="51.95" customHeight="1">
      <c r="A30" s="5">
        <v>0</v>
      </c>
      <c r="B30" s="6" t="s">
        <v>230</v>
      </c>
      <c r="C30" s="13">
        <v>710</v>
      </c>
      <c r="D30" s="8" t="s">
        <v>231</v>
      </c>
      <c r="E30" s="8" t="s">
        <v>232</v>
      </c>
      <c r="F30" s="8" t="s">
        <v>176</v>
      </c>
      <c r="G30" s="6" t="s">
        <v>53</v>
      </c>
      <c r="H30" s="6" t="s">
        <v>38</v>
      </c>
      <c r="I30" s="8" t="s">
        <v>156</v>
      </c>
      <c r="J30" s="9">
        <v>1</v>
      </c>
      <c r="K30" s="9">
        <v>157</v>
      </c>
      <c r="L30" s="9">
        <v>2023</v>
      </c>
      <c r="M30" s="8" t="s">
        <v>233</v>
      </c>
      <c r="N30" s="8" t="s">
        <v>41</v>
      </c>
      <c r="O30" s="8" t="s">
        <v>42</v>
      </c>
      <c r="P30" s="6" t="s">
        <v>43</v>
      </c>
      <c r="Q30" s="8" t="s">
        <v>123</v>
      </c>
      <c r="R30" s="10" t="s">
        <v>58</v>
      </c>
      <c r="S30" s="11" t="s">
        <v>234</v>
      </c>
      <c r="T30" s="6" t="s">
        <v>235</v>
      </c>
      <c r="U30" s="27" t="str">
        <f>HYPERLINK("https://media.infra-m.ru/2016/2016333/cover/2016333.jpg", "Обложка")</f>
        <v>Обложка</v>
      </c>
      <c r="V30" s="27" t="str">
        <f>HYPERLINK("https://znanium.com/catalog/product/2016333", "Ознакомиться")</f>
        <v>Ознакомиться</v>
      </c>
      <c r="W30" s="8" t="s">
        <v>180</v>
      </c>
      <c r="X30" s="6"/>
      <c r="Y30" s="6"/>
      <c r="Z30" s="6"/>
      <c r="AA30" s="6" t="s">
        <v>107</v>
      </c>
    </row>
    <row r="31" spans="1:27" s="4" customFormat="1" ht="42" customHeight="1">
      <c r="A31" s="5">
        <v>0</v>
      </c>
      <c r="B31" s="6" t="s">
        <v>236</v>
      </c>
      <c r="C31" s="13">
        <v>214.9</v>
      </c>
      <c r="D31" s="8" t="s">
        <v>237</v>
      </c>
      <c r="E31" s="8" t="s">
        <v>238</v>
      </c>
      <c r="F31" s="8" t="s">
        <v>239</v>
      </c>
      <c r="G31" s="6" t="s">
        <v>53</v>
      </c>
      <c r="H31" s="6" t="s">
        <v>38</v>
      </c>
      <c r="I31" s="8" t="s">
        <v>73</v>
      </c>
      <c r="J31" s="9">
        <v>1</v>
      </c>
      <c r="K31" s="9">
        <v>68</v>
      </c>
      <c r="L31" s="9">
        <v>2017</v>
      </c>
      <c r="M31" s="8" t="s">
        <v>240</v>
      </c>
      <c r="N31" s="8" t="s">
        <v>41</v>
      </c>
      <c r="O31" s="8" t="s">
        <v>42</v>
      </c>
      <c r="P31" s="6" t="s">
        <v>75</v>
      </c>
      <c r="Q31" s="8" t="s">
        <v>76</v>
      </c>
      <c r="R31" s="10" t="s">
        <v>77</v>
      </c>
      <c r="S31" s="11"/>
      <c r="T31" s="6"/>
      <c r="U31" s="27" t="str">
        <f>HYPERLINK("https://media.infra-m.ru/0773/0773461/cover/773461.jpg", "Обложка")</f>
        <v>Обложка</v>
      </c>
      <c r="V31" s="27" t="str">
        <f>HYPERLINK("https://znanium.com/catalog/product/394759", "Ознакомиться")</f>
        <v>Ознакомиться</v>
      </c>
      <c r="W31" s="8" t="s">
        <v>241</v>
      </c>
      <c r="X31" s="6"/>
      <c r="Y31" s="6"/>
      <c r="Z31" s="6"/>
      <c r="AA31" s="6" t="s">
        <v>96</v>
      </c>
    </row>
    <row r="32" spans="1:27" s="4" customFormat="1" ht="51.95" customHeight="1">
      <c r="A32" s="5">
        <v>0</v>
      </c>
      <c r="B32" s="6" t="s">
        <v>242</v>
      </c>
      <c r="C32" s="7">
        <v>1584.9</v>
      </c>
      <c r="D32" s="8" t="s">
        <v>243</v>
      </c>
      <c r="E32" s="8" t="s">
        <v>244</v>
      </c>
      <c r="F32" s="8" t="s">
        <v>245</v>
      </c>
      <c r="G32" s="6" t="s">
        <v>111</v>
      </c>
      <c r="H32" s="6" t="s">
        <v>38</v>
      </c>
      <c r="I32" s="8" t="s">
        <v>39</v>
      </c>
      <c r="J32" s="9">
        <v>1</v>
      </c>
      <c r="K32" s="9">
        <v>352</v>
      </c>
      <c r="L32" s="9">
        <v>2023</v>
      </c>
      <c r="M32" s="8" t="s">
        <v>246</v>
      </c>
      <c r="N32" s="8" t="s">
        <v>41</v>
      </c>
      <c r="O32" s="8" t="s">
        <v>42</v>
      </c>
      <c r="P32" s="6" t="s">
        <v>43</v>
      </c>
      <c r="Q32" s="8" t="s">
        <v>92</v>
      </c>
      <c r="R32" s="10" t="s">
        <v>247</v>
      </c>
      <c r="S32" s="11" t="s">
        <v>248</v>
      </c>
      <c r="T32" s="6"/>
      <c r="U32" s="27" t="str">
        <f>HYPERLINK("https://media.infra-m.ru/1918/1918611/cover/1918611.jpg", "Обложка")</f>
        <v>Обложка</v>
      </c>
      <c r="V32" s="27" t="str">
        <f>HYPERLINK("https://znanium.com/catalog/product/1895150", "Ознакомиться")</f>
        <v>Ознакомиться</v>
      </c>
      <c r="W32" s="8" t="s">
        <v>249</v>
      </c>
      <c r="X32" s="6"/>
      <c r="Y32" s="6"/>
      <c r="Z32" s="6"/>
      <c r="AA32" s="6" t="s">
        <v>60</v>
      </c>
    </row>
    <row r="33" spans="1:27" s="4" customFormat="1" ht="51.95" customHeight="1">
      <c r="A33" s="5">
        <v>0</v>
      </c>
      <c r="B33" s="6" t="s">
        <v>250</v>
      </c>
      <c r="C33" s="7">
        <v>1620</v>
      </c>
      <c r="D33" s="8" t="s">
        <v>251</v>
      </c>
      <c r="E33" s="8" t="s">
        <v>244</v>
      </c>
      <c r="F33" s="8" t="s">
        <v>245</v>
      </c>
      <c r="G33" s="6" t="s">
        <v>111</v>
      </c>
      <c r="H33" s="6" t="s">
        <v>38</v>
      </c>
      <c r="I33" s="8" t="s">
        <v>112</v>
      </c>
      <c r="J33" s="9">
        <v>1</v>
      </c>
      <c r="K33" s="9">
        <v>352</v>
      </c>
      <c r="L33" s="9">
        <v>2024</v>
      </c>
      <c r="M33" s="8" t="s">
        <v>252</v>
      </c>
      <c r="N33" s="8" t="s">
        <v>41</v>
      </c>
      <c r="O33" s="8" t="s">
        <v>42</v>
      </c>
      <c r="P33" s="6" t="s">
        <v>43</v>
      </c>
      <c r="Q33" s="8" t="s">
        <v>114</v>
      </c>
      <c r="R33" s="10" t="s">
        <v>115</v>
      </c>
      <c r="S33" s="11" t="s">
        <v>253</v>
      </c>
      <c r="T33" s="6"/>
      <c r="U33" s="27" t="str">
        <f>HYPERLINK("https://media.infra-m.ru/2099/2099966/cover/2099966.jpg", "Обложка")</f>
        <v>Обложка</v>
      </c>
      <c r="V33" s="27" t="str">
        <f>HYPERLINK("https://znanium.com/catalog/product/2099966", "Ознакомиться")</f>
        <v>Ознакомиться</v>
      </c>
      <c r="W33" s="8" t="s">
        <v>249</v>
      </c>
      <c r="X33" s="6"/>
      <c r="Y33" s="6"/>
      <c r="Z33" s="6" t="s">
        <v>117</v>
      </c>
      <c r="AA33" s="6" t="s">
        <v>86</v>
      </c>
    </row>
    <row r="34" spans="1:27" s="4" customFormat="1" ht="51.95" customHeight="1">
      <c r="A34" s="5">
        <v>0</v>
      </c>
      <c r="B34" s="6" t="s">
        <v>254</v>
      </c>
      <c r="C34" s="7">
        <v>1590</v>
      </c>
      <c r="D34" s="8" t="s">
        <v>255</v>
      </c>
      <c r="E34" s="8" t="s">
        <v>256</v>
      </c>
      <c r="F34" s="8" t="s">
        <v>257</v>
      </c>
      <c r="G34" s="6" t="s">
        <v>111</v>
      </c>
      <c r="H34" s="6" t="s">
        <v>38</v>
      </c>
      <c r="I34" s="8" t="s">
        <v>39</v>
      </c>
      <c r="J34" s="9">
        <v>1</v>
      </c>
      <c r="K34" s="9">
        <v>352</v>
      </c>
      <c r="L34" s="9">
        <v>2023</v>
      </c>
      <c r="M34" s="8" t="s">
        <v>258</v>
      </c>
      <c r="N34" s="8" t="s">
        <v>41</v>
      </c>
      <c r="O34" s="8" t="s">
        <v>42</v>
      </c>
      <c r="P34" s="6" t="s">
        <v>43</v>
      </c>
      <c r="Q34" s="8" t="s">
        <v>92</v>
      </c>
      <c r="R34" s="10" t="s">
        <v>259</v>
      </c>
      <c r="S34" s="11" t="s">
        <v>260</v>
      </c>
      <c r="T34" s="6"/>
      <c r="U34" s="27" t="str">
        <f>HYPERLINK("https://media.infra-m.ru/1998/1998954/cover/1998954.jpg", "Обложка")</f>
        <v>Обложка</v>
      </c>
      <c r="V34" s="27" t="str">
        <f>HYPERLINK("https://znanium.com/catalog/product/1998954", "Ознакомиться")</f>
        <v>Ознакомиться</v>
      </c>
      <c r="W34" s="8" t="s">
        <v>249</v>
      </c>
      <c r="X34" s="6"/>
      <c r="Y34" s="6"/>
      <c r="Z34" s="6"/>
      <c r="AA34" s="6" t="s">
        <v>60</v>
      </c>
    </row>
    <row r="35" spans="1:27" s="4" customFormat="1" ht="51.95" customHeight="1">
      <c r="A35" s="5">
        <v>0</v>
      </c>
      <c r="B35" s="6" t="s">
        <v>261</v>
      </c>
      <c r="C35" s="7">
        <v>1594</v>
      </c>
      <c r="D35" s="8" t="s">
        <v>262</v>
      </c>
      <c r="E35" s="8" t="s">
        <v>256</v>
      </c>
      <c r="F35" s="8" t="s">
        <v>257</v>
      </c>
      <c r="G35" s="6" t="s">
        <v>37</v>
      </c>
      <c r="H35" s="6" t="s">
        <v>38</v>
      </c>
      <c r="I35" s="8" t="s">
        <v>112</v>
      </c>
      <c r="J35" s="9">
        <v>1</v>
      </c>
      <c r="K35" s="9">
        <v>352</v>
      </c>
      <c r="L35" s="9">
        <v>2023</v>
      </c>
      <c r="M35" s="8" t="s">
        <v>263</v>
      </c>
      <c r="N35" s="8" t="s">
        <v>41</v>
      </c>
      <c r="O35" s="8" t="s">
        <v>42</v>
      </c>
      <c r="P35" s="6" t="s">
        <v>43</v>
      </c>
      <c r="Q35" s="8" t="s">
        <v>114</v>
      </c>
      <c r="R35" s="10" t="s">
        <v>264</v>
      </c>
      <c r="S35" s="11" t="s">
        <v>265</v>
      </c>
      <c r="T35" s="6"/>
      <c r="U35" s="27" t="str">
        <f>HYPERLINK("https://media.infra-m.ru/1891/1891907/cover/1891907.jpg", "Обложка")</f>
        <v>Обложка</v>
      </c>
      <c r="V35" s="27" t="str">
        <f>HYPERLINK("https://znanium.com/catalog/product/1206690", "Ознакомиться")</f>
        <v>Ознакомиться</v>
      </c>
      <c r="W35" s="8" t="s">
        <v>249</v>
      </c>
      <c r="X35" s="6"/>
      <c r="Y35" s="6"/>
      <c r="Z35" s="6" t="s">
        <v>117</v>
      </c>
      <c r="AA35" s="6" t="s">
        <v>78</v>
      </c>
    </row>
    <row r="36" spans="1:27" s="4" customFormat="1" ht="44.1" customHeight="1">
      <c r="A36" s="5">
        <v>0</v>
      </c>
      <c r="B36" s="6" t="s">
        <v>266</v>
      </c>
      <c r="C36" s="13">
        <v>724.9</v>
      </c>
      <c r="D36" s="8" t="s">
        <v>267</v>
      </c>
      <c r="E36" s="8" t="s">
        <v>268</v>
      </c>
      <c r="F36" s="8" t="s">
        <v>269</v>
      </c>
      <c r="G36" s="6" t="s">
        <v>53</v>
      </c>
      <c r="H36" s="6" t="s">
        <v>38</v>
      </c>
      <c r="I36" s="8" t="s">
        <v>73</v>
      </c>
      <c r="J36" s="9">
        <v>1</v>
      </c>
      <c r="K36" s="9">
        <v>160</v>
      </c>
      <c r="L36" s="9">
        <v>2023</v>
      </c>
      <c r="M36" s="8" t="s">
        <v>270</v>
      </c>
      <c r="N36" s="8" t="s">
        <v>41</v>
      </c>
      <c r="O36" s="8" t="s">
        <v>42</v>
      </c>
      <c r="P36" s="6" t="s">
        <v>75</v>
      </c>
      <c r="Q36" s="8" t="s">
        <v>76</v>
      </c>
      <c r="R36" s="10" t="s">
        <v>271</v>
      </c>
      <c r="S36" s="11"/>
      <c r="T36" s="6"/>
      <c r="U36" s="27" t="str">
        <f>HYPERLINK("https://media.infra-m.ru/2045/2045838/cover/2045838.jpg", "Обложка")</f>
        <v>Обложка</v>
      </c>
      <c r="V36" s="27" t="str">
        <f>HYPERLINK("https://znanium.com/catalog/product/1204632", "Ознакомиться")</f>
        <v>Ознакомиться</v>
      </c>
      <c r="W36" s="8" t="s">
        <v>272</v>
      </c>
      <c r="X36" s="6"/>
      <c r="Y36" s="6"/>
      <c r="Z36" s="6"/>
      <c r="AA36" s="6" t="s">
        <v>273</v>
      </c>
    </row>
    <row r="37" spans="1:27" s="4" customFormat="1" ht="51.95" customHeight="1">
      <c r="A37" s="5">
        <v>0</v>
      </c>
      <c r="B37" s="6" t="s">
        <v>274</v>
      </c>
      <c r="C37" s="13">
        <v>724</v>
      </c>
      <c r="D37" s="8" t="s">
        <v>275</v>
      </c>
      <c r="E37" s="8" t="s">
        <v>276</v>
      </c>
      <c r="F37" s="8" t="s">
        <v>277</v>
      </c>
      <c r="G37" s="6" t="s">
        <v>53</v>
      </c>
      <c r="H37" s="6" t="s">
        <v>38</v>
      </c>
      <c r="I37" s="8" t="s">
        <v>278</v>
      </c>
      <c r="J37" s="9">
        <v>1</v>
      </c>
      <c r="K37" s="9">
        <v>126</v>
      </c>
      <c r="L37" s="9">
        <v>2024</v>
      </c>
      <c r="M37" s="8" t="s">
        <v>279</v>
      </c>
      <c r="N37" s="8" t="s">
        <v>41</v>
      </c>
      <c r="O37" s="8" t="s">
        <v>42</v>
      </c>
      <c r="P37" s="6" t="s">
        <v>43</v>
      </c>
      <c r="Q37" s="8" t="s">
        <v>123</v>
      </c>
      <c r="R37" s="10" t="s">
        <v>280</v>
      </c>
      <c r="S37" s="11" t="s">
        <v>281</v>
      </c>
      <c r="T37" s="6"/>
      <c r="U37" s="27" t="str">
        <f>HYPERLINK("https://media.infra-m.ru/2058/2058756/cover/2058756.jpg", "Обложка")</f>
        <v>Обложка</v>
      </c>
      <c r="V37" s="27" t="str">
        <f>HYPERLINK("https://znanium.com/catalog/product/1157258", "Ознакомиться")</f>
        <v>Ознакомиться</v>
      </c>
      <c r="W37" s="8" t="s">
        <v>85</v>
      </c>
      <c r="X37" s="6"/>
      <c r="Y37" s="6"/>
      <c r="Z37" s="6"/>
      <c r="AA37" s="6" t="s">
        <v>273</v>
      </c>
    </row>
    <row r="38" spans="1:27" s="4" customFormat="1" ht="42" customHeight="1">
      <c r="A38" s="5">
        <v>0</v>
      </c>
      <c r="B38" s="6" t="s">
        <v>282</v>
      </c>
      <c r="C38" s="13">
        <v>344.9</v>
      </c>
      <c r="D38" s="8" t="s">
        <v>283</v>
      </c>
      <c r="E38" s="8" t="s">
        <v>284</v>
      </c>
      <c r="F38" s="8" t="s">
        <v>285</v>
      </c>
      <c r="G38" s="6" t="s">
        <v>53</v>
      </c>
      <c r="H38" s="6" t="s">
        <v>286</v>
      </c>
      <c r="I38" s="8"/>
      <c r="J38" s="9">
        <v>1</v>
      </c>
      <c r="K38" s="9">
        <v>56</v>
      </c>
      <c r="L38" s="9">
        <v>2023</v>
      </c>
      <c r="M38" s="8" t="s">
        <v>287</v>
      </c>
      <c r="N38" s="8" t="s">
        <v>41</v>
      </c>
      <c r="O38" s="8" t="s">
        <v>42</v>
      </c>
      <c r="P38" s="6" t="s">
        <v>43</v>
      </c>
      <c r="Q38" s="8" t="s">
        <v>123</v>
      </c>
      <c r="R38" s="10" t="s">
        <v>288</v>
      </c>
      <c r="S38" s="11"/>
      <c r="T38" s="6"/>
      <c r="U38" s="27" t="str">
        <f>HYPERLINK("https://media.infra-m.ru/1817/1817961/cover/1817961.jpg", "Обложка")</f>
        <v>Обложка</v>
      </c>
      <c r="V38" s="27" t="str">
        <f>HYPERLINK("https://znanium.com/catalog/product/1010059", "Ознакомиться")</f>
        <v>Ознакомиться</v>
      </c>
      <c r="W38" s="8" t="s">
        <v>289</v>
      </c>
      <c r="X38" s="6"/>
      <c r="Y38" s="6"/>
      <c r="Z38" s="6"/>
      <c r="AA38" s="6" t="s">
        <v>221</v>
      </c>
    </row>
    <row r="39" spans="1:27" s="4" customFormat="1" ht="51.95" customHeight="1">
      <c r="A39" s="5">
        <v>0</v>
      </c>
      <c r="B39" s="6" t="s">
        <v>290</v>
      </c>
      <c r="C39" s="7">
        <v>1154.9000000000001</v>
      </c>
      <c r="D39" s="8" t="s">
        <v>291</v>
      </c>
      <c r="E39" s="8" t="s">
        <v>292</v>
      </c>
      <c r="F39" s="8" t="s">
        <v>293</v>
      </c>
      <c r="G39" s="6" t="s">
        <v>37</v>
      </c>
      <c r="H39" s="6" t="s">
        <v>294</v>
      </c>
      <c r="I39" s="8"/>
      <c r="J39" s="9">
        <v>1</v>
      </c>
      <c r="K39" s="9">
        <v>256</v>
      </c>
      <c r="L39" s="9">
        <v>2023</v>
      </c>
      <c r="M39" s="8" t="s">
        <v>295</v>
      </c>
      <c r="N39" s="8" t="s">
        <v>41</v>
      </c>
      <c r="O39" s="8" t="s">
        <v>42</v>
      </c>
      <c r="P39" s="6" t="s">
        <v>43</v>
      </c>
      <c r="Q39" s="8" t="s">
        <v>92</v>
      </c>
      <c r="R39" s="10" t="s">
        <v>296</v>
      </c>
      <c r="S39" s="11" t="s">
        <v>297</v>
      </c>
      <c r="T39" s="6"/>
      <c r="U39" s="27" t="str">
        <f>HYPERLINK("https://media.infra-m.ru/2045/2045874/cover/2045874.jpg", "Обложка")</f>
        <v>Обложка</v>
      </c>
      <c r="V39" s="27" t="str">
        <f>HYPERLINK("https://znanium.com/catalog/product/959999", "Ознакомиться")</f>
        <v>Ознакомиться</v>
      </c>
      <c r="W39" s="8" t="s">
        <v>298</v>
      </c>
      <c r="X39" s="6"/>
      <c r="Y39" s="6"/>
      <c r="Z39" s="6"/>
      <c r="AA39" s="6" t="s">
        <v>96</v>
      </c>
    </row>
    <row r="40" spans="1:27" s="4" customFormat="1" ht="51.95" customHeight="1">
      <c r="A40" s="5">
        <v>0</v>
      </c>
      <c r="B40" s="6" t="s">
        <v>299</v>
      </c>
      <c r="C40" s="13">
        <v>544.9</v>
      </c>
      <c r="D40" s="8" t="s">
        <v>300</v>
      </c>
      <c r="E40" s="8" t="s">
        <v>301</v>
      </c>
      <c r="F40" s="8" t="s">
        <v>302</v>
      </c>
      <c r="G40" s="6" t="s">
        <v>37</v>
      </c>
      <c r="H40" s="6" t="s">
        <v>294</v>
      </c>
      <c r="I40" s="8"/>
      <c r="J40" s="9">
        <v>1</v>
      </c>
      <c r="K40" s="9">
        <v>160</v>
      </c>
      <c r="L40" s="9">
        <v>2020</v>
      </c>
      <c r="M40" s="8" t="s">
        <v>303</v>
      </c>
      <c r="N40" s="8" t="s">
        <v>41</v>
      </c>
      <c r="O40" s="8" t="s">
        <v>42</v>
      </c>
      <c r="P40" s="6" t="s">
        <v>43</v>
      </c>
      <c r="Q40" s="8" t="s">
        <v>92</v>
      </c>
      <c r="R40" s="10" t="s">
        <v>304</v>
      </c>
      <c r="S40" s="11" t="s">
        <v>297</v>
      </c>
      <c r="T40" s="6"/>
      <c r="U40" s="27" t="str">
        <f>HYPERLINK("https://media.infra-m.ru/1083/1083435/cover/1083435.jpg", "Обложка")</f>
        <v>Обложка</v>
      </c>
      <c r="V40" s="27" t="str">
        <f>HYPERLINK("https://znanium.com/catalog/product/960000", "Ознакомиться")</f>
        <v>Ознакомиться</v>
      </c>
      <c r="W40" s="8" t="s">
        <v>298</v>
      </c>
      <c r="X40" s="6"/>
      <c r="Y40" s="6"/>
      <c r="Z40" s="6"/>
      <c r="AA40" s="6" t="s">
        <v>96</v>
      </c>
    </row>
    <row r="41" spans="1:27" s="4" customFormat="1" ht="51.95" customHeight="1">
      <c r="A41" s="5">
        <v>0</v>
      </c>
      <c r="B41" s="6" t="s">
        <v>305</v>
      </c>
      <c r="C41" s="7">
        <v>2644</v>
      </c>
      <c r="D41" s="8" t="s">
        <v>306</v>
      </c>
      <c r="E41" s="8" t="s">
        <v>307</v>
      </c>
      <c r="F41" s="8" t="s">
        <v>308</v>
      </c>
      <c r="G41" s="6" t="s">
        <v>111</v>
      </c>
      <c r="H41" s="6" t="s">
        <v>38</v>
      </c>
      <c r="I41" s="8" t="s">
        <v>101</v>
      </c>
      <c r="J41" s="9">
        <v>1</v>
      </c>
      <c r="K41" s="9">
        <v>574</v>
      </c>
      <c r="L41" s="9">
        <v>2024</v>
      </c>
      <c r="M41" s="8" t="s">
        <v>309</v>
      </c>
      <c r="N41" s="8" t="s">
        <v>41</v>
      </c>
      <c r="O41" s="8" t="s">
        <v>42</v>
      </c>
      <c r="P41" s="6" t="s">
        <v>43</v>
      </c>
      <c r="Q41" s="8" t="s">
        <v>92</v>
      </c>
      <c r="R41" s="10" t="s">
        <v>310</v>
      </c>
      <c r="S41" s="11" t="s">
        <v>311</v>
      </c>
      <c r="T41" s="6"/>
      <c r="U41" s="27" t="str">
        <f>HYPERLINK("https://media.infra-m.ru/2104/2104849/cover/2104849.jpg", "Обложка")</f>
        <v>Обложка</v>
      </c>
      <c r="V41" s="27" t="str">
        <f>HYPERLINK("https://znanium.com/catalog/product/1916106", "Ознакомиться")</f>
        <v>Ознакомиться</v>
      </c>
      <c r="W41" s="8" t="s">
        <v>312</v>
      </c>
      <c r="X41" s="6"/>
      <c r="Y41" s="6"/>
      <c r="Z41" s="6"/>
      <c r="AA41" s="6" t="s">
        <v>96</v>
      </c>
    </row>
    <row r="42" spans="1:27" s="4" customFormat="1" ht="42" customHeight="1">
      <c r="A42" s="5">
        <v>0</v>
      </c>
      <c r="B42" s="6" t="s">
        <v>313</v>
      </c>
      <c r="C42" s="13">
        <v>970</v>
      </c>
      <c r="D42" s="8" t="s">
        <v>314</v>
      </c>
      <c r="E42" s="8" t="s">
        <v>315</v>
      </c>
      <c r="F42" s="8" t="s">
        <v>316</v>
      </c>
      <c r="G42" s="6" t="s">
        <v>53</v>
      </c>
      <c r="H42" s="6" t="s">
        <v>38</v>
      </c>
      <c r="I42" s="8" t="s">
        <v>73</v>
      </c>
      <c r="J42" s="9">
        <v>1</v>
      </c>
      <c r="K42" s="9">
        <v>216</v>
      </c>
      <c r="L42" s="9">
        <v>2022</v>
      </c>
      <c r="M42" s="8" t="s">
        <v>317</v>
      </c>
      <c r="N42" s="8" t="s">
        <v>41</v>
      </c>
      <c r="O42" s="8" t="s">
        <v>42</v>
      </c>
      <c r="P42" s="6" t="s">
        <v>75</v>
      </c>
      <c r="Q42" s="8" t="s">
        <v>76</v>
      </c>
      <c r="R42" s="10" t="s">
        <v>296</v>
      </c>
      <c r="S42" s="11"/>
      <c r="T42" s="6"/>
      <c r="U42" s="27" t="str">
        <f>HYPERLINK("https://media.infra-m.ru/1948/1948202/cover/1948202.jpg", "Обложка")</f>
        <v>Обложка</v>
      </c>
      <c r="V42" s="27" t="str">
        <f>HYPERLINK("https://znanium.com/catalog/product/1917710", "Ознакомиться")</f>
        <v>Ознакомиться</v>
      </c>
      <c r="W42" s="8" t="s">
        <v>318</v>
      </c>
      <c r="X42" s="6"/>
      <c r="Y42" s="6"/>
      <c r="Z42" s="6"/>
      <c r="AA42" s="6" t="s">
        <v>319</v>
      </c>
    </row>
    <row r="43" spans="1:27" s="4" customFormat="1" ht="51.95" customHeight="1">
      <c r="A43" s="5">
        <v>0</v>
      </c>
      <c r="B43" s="6" t="s">
        <v>320</v>
      </c>
      <c r="C43" s="7">
        <v>1107</v>
      </c>
      <c r="D43" s="8" t="s">
        <v>321</v>
      </c>
      <c r="E43" s="8" t="s">
        <v>322</v>
      </c>
      <c r="F43" s="8" t="s">
        <v>323</v>
      </c>
      <c r="G43" s="6" t="s">
        <v>53</v>
      </c>
      <c r="H43" s="6" t="s">
        <v>286</v>
      </c>
      <c r="I43" s="8" t="s">
        <v>39</v>
      </c>
      <c r="J43" s="9">
        <v>1</v>
      </c>
      <c r="K43" s="9">
        <v>184</v>
      </c>
      <c r="L43" s="9">
        <v>2024</v>
      </c>
      <c r="M43" s="8" t="s">
        <v>324</v>
      </c>
      <c r="N43" s="8" t="s">
        <v>41</v>
      </c>
      <c r="O43" s="8" t="s">
        <v>42</v>
      </c>
      <c r="P43" s="6" t="s">
        <v>43</v>
      </c>
      <c r="Q43" s="8" t="s">
        <v>92</v>
      </c>
      <c r="R43" s="10" t="s">
        <v>325</v>
      </c>
      <c r="S43" s="11" t="s">
        <v>326</v>
      </c>
      <c r="T43" s="6"/>
      <c r="U43" s="27" t="str">
        <f>HYPERLINK("https://media.infra-m.ru/2073/2073491/cover/2073491.jpg", "Обложка")</f>
        <v>Обложка</v>
      </c>
      <c r="V43" s="27" t="str">
        <f>HYPERLINK("https://znanium.com/catalog/product/1141234", "Ознакомиться")</f>
        <v>Ознакомиться</v>
      </c>
      <c r="W43" s="8" t="s">
        <v>142</v>
      </c>
      <c r="X43" s="6"/>
      <c r="Y43" s="6"/>
      <c r="Z43" s="6"/>
      <c r="AA43" s="6" t="s">
        <v>221</v>
      </c>
    </row>
    <row r="44" spans="1:27" s="4" customFormat="1" ht="42" customHeight="1">
      <c r="A44" s="5">
        <v>0</v>
      </c>
      <c r="B44" s="6" t="s">
        <v>327</v>
      </c>
      <c r="C44" s="7">
        <v>1450</v>
      </c>
      <c r="D44" s="8" t="s">
        <v>328</v>
      </c>
      <c r="E44" s="8" t="s">
        <v>329</v>
      </c>
      <c r="F44" s="8" t="s">
        <v>330</v>
      </c>
      <c r="G44" s="6" t="s">
        <v>53</v>
      </c>
      <c r="H44" s="6" t="s">
        <v>38</v>
      </c>
      <c r="I44" s="8" t="s">
        <v>73</v>
      </c>
      <c r="J44" s="9">
        <v>1</v>
      </c>
      <c r="K44" s="9">
        <v>315</v>
      </c>
      <c r="L44" s="9">
        <v>2024</v>
      </c>
      <c r="M44" s="8" t="s">
        <v>331</v>
      </c>
      <c r="N44" s="8" t="s">
        <v>41</v>
      </c>
      <c r="O44" s="8" t="s">
        <v>42</v>
      </c>
      <c r="P44" s="6" t="s">
        <v>75</v>
      </c>
      <c r="Q44" s="8" t="s">
        <v>76</v>
      </c>
      <c r="R44" s="10" t="s">
        <v>332</v>
      </c>
      <c r="S44" s="11"/>
      <c r="T44" s="6"/>
      <c r="U44" s="27" t="str">
        <f>HYPERLINK("https://media.infra-m.ru/2084/2084494/cover/2084494.jpg", "Обложка")</f>
        <v>Обложка</v>
      </c>
      <c r="V44" s="27" t="str">
        <f>HYPERLINK("https://znanium.com/catalog/product/2084494", "Ознакомиться")</f>
        <v>Ознакомиться</v>
      </c>
      <c r="W44" s="8" t="s">
        <v>333</v>
      </c>
      <c r="X44" s="6"/>
      <c r="Y44" s="6"/>
      <c r="Z44" s="6"/>
      <c r="AA44" s="6" t="s">
        <v>334</v>
      </c>
    </row>
    <row r="45" spans="1:27" s="4" customFormat="1" ht="42" customHeight="1">
      <c r="A45" s="5">
        <v>0</v>
      </c>
      <c r="B45" s="6" t="s">
        <v>335</v>
      </c>
      <c r="C45" s="7">
        <v>1670</v>
      </c>
      <c r="D45" s="8" t="s">
        <v>336</v>
      </c>
      <c r="E45" s="8" t="s">
        <v>337</v>
      </c>
      <c r="F45" s="8" t="s">
        <v>338</v>
      </c>
      <c r="G45" s="6" t="s">
        <v>53</v>
      </c>
      <c r="H45" s="6" t="s">
        <v>65</v>
      </c>
      <c r="I45" s="8" t="s">
        <v>339</v>
      </c>
      <c r="J45" s="9">
        <v>1</v>
      </c>
      <c r="K45" s="9">
        <v>370</v>
      </c>
      <c r="L45" s="9">
        <v>2023</v>
      </c>
      <c r="M45" s="8" t="s">
        <v>340</v>
      </c>
      <c r="N45" s="8" t="s">
        <v>41</v>
      </c>
      <c r="O45" s="8" t="s">
        <v>42</v>
      </c>
      <c r="P45" s="6" t="s">
        <v>56</v>
      </c>
      <c r="Q45" s="8" t="s">
        <v>76</v>
      </c>
      <c r="R45" s="10" t="s">
        <v>341</v>
      </c>
      <c r="S45" s="11"/>
      <c r="T45" s="6"/>
      <c r="U45" s="27" t="str">
        <f>HYPERLINK("https://media.infra-m.ru/1911/1911068/cover/1911068.jpg", "Обложка")</f>
        <v>Обложка</v>
      </c>
      <c r="V45" s="27" t="str">
        <f>HYPERLINK("https://znanium.com/catalog/product/1911068", "Ознакомиться")</f>
        <v>Ознакомиться</v>
      </c>
      <c r="W45" s="8" t="s">
        <v>342</v>
      </c>
      <c r="X45" s="6"/>
      <c r="Y45" s="6"/>
      <c r="Z45" s="6"/>
      <c r="AA45" s="6" t="s">
        <v>96</v>
      </c>
    </row>
    <row r="46" spans="1:27" s="4" customFormat="1" ht="51.95" customHeight="1">
      <c r="A46" s="5">
        <v>0</v>
      </c>
      <c r="B46" s="6" t="s">
        <v>343</v>
      </c>
      <c r="C46" s="7">
        <v>1020</v>
      </c>
      <c r="D46" s="8" t="s">
        <v>344</v>
      </c>
      <c r="E46" s="8" t="s">
        <v>345</v>
      </c>
      <c r="F46" s="8" t="s">
        <v>346</v>
      </c>
      <c r="G46" s="6" t="s">
        <v>111</v>
      </c>
      <c r="H46" s="6" t="s">
        <v>38</v>
      </c>
      <c r="I46" s="8" t="s">
        <v>347</v>
      </c>
      <c r="J46" s="9">
        <v>1</v>
      </c>
      <c r="K46" s="9">
        <v>204</v>
      </c>
      <c r="L46" s="9">
        <v>2023</v>
      </c>
      <c r="M46" s="8" t="s">
        <v>348</v>
      </c>
      <c r="N46" s="8" t="s">
        <v>41</v>
      </c>
      <c r="O46" s="8" t="s">
        <v>42</v>
      </c>
      <c r="P46" s="6" t="s">
        <v>43</v>
      </c>
      <c r="Q46" s="8" t="s">
        <v>123</v>
      </c>
      <c r="R46" s="10" t="s">
        <v>349</v>
      </c>
      <c r="S46" s="11" t="s">
        <v>350</v>
      </c>
      <c r="T46" s="6"/>
      <c r="U46" s="27" t="str">
        <f>HYPERLINK("https://media.infra-m.ru/2045/2045889/cover/2045889.jpg", "Обложка")</f>
        <v>Обложка</v>
      </c>
      <c r="V46" s="27" t="str">
        <f>HYPERLINK("https://znanium.com/catalog/product/2045889", "Ознакомиться")</f>
        <v>Ознакомиться</v>
      </c>
      <c r="W46" s="8" t="s">
        <v>46</v>
      </c>
      <c r="X46" s="6"/>
      <c r="Y46" s="6"/>
      <c r="Z46" s="6"/>
      <c r="AA46" s="6" t="s">
        <v>86</v>
      </c>
    </row>
    <row r="47" spans="1:27" s="4" customFormat="1" ht="51.95" customHeight="1">
      <c r="A47" s="5">
        <v>0</v>
      </c>
      <c r="B47" s="6" t="s">
        <v>351</v>
      </c>
      <c r="C47" s="13">
        <v>340</v>
      </c>
      <c r="D47" s="8" t="s">
        <v>352</v>
      </c>
      <c r="E47" s="8" t="s">
        <v>353</v>
      </c>
      <c r="F47" s="8" t="s">
        <v>354</v>
      </c>
      <c r="G47" s="6" t="s">
        <v>53</v>
      </c>
      <c r="H47" s="6" t="s">
        <v>38</v>
      </c>
      <c r="I47" s="8" t="s">
        <v>355</v>
      </c>
      <c r="J47" s="9">
        <v>1</v>
      </c>
      <c r="K47" s="9">
        <v>74</v>
      </c>
      <c r="L47" s="9">
        <v>2023</v>
      </c>
      <c r="M47" s="8" t="s">
        <v>356</v>
      </c>
      <c r="N47" s="8" t="s">
        <v>41</v>
      </c>
      <c r="O47" s="8" t="s">
        <v>42</v>
      </c>
      <c r="P47" s="6" t="s">
        <v>43</v>
      </c>
      <c r="Q47" s="8" t="s">
        <v>57</v>
      </c>
      <c r="R47" s="10" t="s">
        <v>357</v>
      </c>
      <c r="S47" s="11" t="s">
        <v>358</v>
      </c>
      <c r="T47" s="6"/>
      <c r="U47" s="27" t="str">
        <f>HYPERLINK("https://media.infra-m.ru/1913/1913249/cover/1913249.jpg", "Обложка")</f>
        <v>Обложка</v>
      </c>
      <c r="V47" s="27" t="str">
        <f>HYPERLINK("https://znanium.com/catalog/product/1913249", "Ознакомиться")</f>
        <v>Ознакомиться</v>
      </c>
      <c r="W47" s="8" t="s">
        <v>359</v>
      </c>
      <c r="X47" s="6"/>
      <c r="Y47" s="6"/>
      <c r="Z47" s="6"/>
      <c r="AA47" s="6" t="s">
        <v>60</v>
      </c>
    </row>
    <row r="48" spans="1:27" s="4" customFormat="1" ht="51.95" customHeight="1">
      <c r="A48" s="5">
        <v>0</v>
      </c>
      <c r="B48" s="6" t="s">
        <v>360</v>
      </c>
      <c r="C48" s="13">
        <v>430</v>
      </c>
      <c r="D48" s="8" t="s">
        <v>361</v>
      </c>
      <c r="E48" s="8" t="s">
        <v>353</v>
      </c>
      <c r="F48" s="8" t="s">
        <v>354</v>
      </c>
      <c r="G48" s="6" t="s">
        <v>53</v>
      </c>
      <c r="H48" s="6" t="s">
        <v>38</v>
      </c>
      <c r="I48" s="8" t="s">
        <v>112</v>
      </c>
      <c r="J48" s="9">
        <v>1</v>
      </c>
      <c r="K48" s="9">
        <v>74</v>
      </c>
      <c r="L48" s="9">
        <v>2024</v>
      </c>
      <c r="M48" s="8" t="s">
        <v>362</v>
      </c>
      <c r="N48" s="8" t="s">
        <v>41</v>
      </c>
      <c r="O48" s="8" t="s">
        <v>42</v>
      </c>
      <c r="P48" s="6" t="s">
        <v>43</v>
      </c>
      <c r="Q48" s="8" t="s">
        <v>114</v>
      </c>
      <c r="R48" s="10" t="s">
        <v>363</v>
      </c>
      <c r="S48" s="11" t="s">
        <v>364</v>
      </c>
      <c r="T48" s="6"/>
      <c r="U48" s="27" t="str">
        <f>HYPERLINK("https://media.infra-m.ru/2083/2083365/cover/2083365.jpg", "Обложка")</f>
        <v>Обложка</v>
      </c>
      <c r="V48" s="27" t="str">
        <f>HYPERLINK("https://znanium.com/catalog/product/2083365", "Ознакомиться")</f>
        <v>Ознакомиться</v>
      </c>
      <c r="W48" s="8" t="s">
        <v>359</v>
      </c>
      <c r="X48" s="6"/>
      <c r="Y48" s="6"/>
      <c r="Z48" s="6" t="s">
        <v>365</v>
      </c>
      <c r="AA48" s="6" t="s">
        <v>78</v>
      </c>
    </row>
    <row r="49" spans="1:27" s="4" customFormat="1" ht="42" customHeight="1">
      <c r="A49" s="5">
        <v>0</v>
      </c>
      <c r="B49" s="6" t="s">
        <v>366</v>
      </c>
      <c r="C49" s="13">
        <v>894.9</v>
      </c>
      <c r="D49" s="8" t="s">
        <v>367</v>
      </c>
      <c r="E49" s="8" t="s">
        <v>368</v>
      </c>
      <c r="F49" s="8" t="s">
        <v>369</v>
      </c>
      <c r="G49" s="6" t="s">
        <v>53</v>
      </c>
      <c r="H49" s="6" t="s">
        <v>38</v>
      </c>
      <c r="I49" s="8" t="s">
        <v>73</v>
      </c>
      <c r="J49" s="9">
        <v>1</v>
      </c>
      <c r="K49" s="9">
        <v>197</v>
      </c>
      <c r="L49" s="9">
        <v>2023</v>
      </c>
      <c r="M49" s="8" t="s">
        <v>370</v>
      </c>
      <c r="N49" s="8" t="s">
        <v>41</v>
      </c>
      <c r="O49" s="8" t="s">
        <v>42</v>
      </c>
      <c r="P49" s="6" t="s">
        <v>75</v>
      </c>
      <c r="Q49" s="8" t="s">
        <v>76</v>
      </c>
      <c r="R49" s="10" t="s">
        <v>77</v>
      </c>
      <c r="S49" s="11"/>
      <c r="T49" s="6"/>
      <c r="U49" s="27" t="str">
        <f>HYPERLINK("https://media.infra-m.ru/1986/1986685/cover/1986685.jpg", "Обложка")</f>
        <v>Обложка</v>
      </c>
      <c r="V49" s="27" t="str">
        <f>HYPERLINK("https://znanium.com/catalog/product/1854750", "Ознакомиться")</f>
        <v>Ознакомиться</v>
      </c>
      <c r="W49" s="8" t="s">
        <v>371</v>
      </c>
      <c r="X49" s="6"/>
      <c r="Y49" s="6"/>
      <c r="Z49" s="6"/>
      <c r="AA49" s="6" t="s">
        <v>107</v>
      </c>
    </row>
    <row r="50" spans="1:27" s="4" customFormat="1" ht="42" customHeight="1">
      <c r="A50" s="5">
        <v>0</v>
      </c>
      <c r="B50" s="6" t="s">
        <v>372</v>
      </c>
      <c r="C50" s="7">
        <v>1334.9</v>
      </c>
      <c r="D50" s="8" t="s">
        <v>373</v>
      </c>
      <c r="E50" s="8" t="s">
        <v>374</v>
      </c>
      <c r="F50" s="8" t="s">
        <v>375</v>
      </c>
      <c r="G50" s="6" t="s">
        <v>53</v>
      </c>
      <c r="H50" s="6" t="s">
        <v>38</v>
      </c>
      <c r="I50" s="8" t="s">
        <v>73</v>
      </c>
      <c r="J50" s="9">
        <v>1</v>
      </c>
      <c r="K50" s="9">
        <v>296</v>
      </c>
      <c r="L50" s="9">
        <v>2023</v>
      </c>
      <c r="M50" s="8" t="s">
        <v>376</v>
      </c>
      <c r="N50" s="8" t="s">
        <v>41</v>
      </c>
      <c r="O50" s="8" t="s">
        <v>42</v>
      </c>
      <c r="P50" s="6" t="s">
        <v>75</v>
      </c>
      <c r="Q50" s="8" t="s">
        <v>76</v>
      </c>
      <c r="R50" s="10" t="s">
        <v>77</v>
      </c>
      <c r="S50" s="11"/>
      <c r="T50" s="6"/>
      <c r="U50" s="27" t="str">
        <f>HYPERLINK("https://media.infra-m.ru/2045/2045879/cover/2045879.jpg", "Обложка")</f>
        <v>Обложка</v>
      </c>
      <c r="V50" s="27" t="str">
        <f>HYPERLINK("https://znanium.com/catalog/product/1024646", "Ознакомиться")</f>
        <v>Ознакомиться</v>
      </c>
      <c r="W50" s="8" t="s">
        <v>377</v>
      </c>
      <c r="X50" s="6"/>
      <c r="Y50" s="6"/>
      <c r="Z50" s="6"/>
      <c r="AA50" s="6" t="s">
        <v>378</v>
      </c>
    </row>
    <row r="51" spans="1:27" s="4" customFormat="1" ht="42" customHeight="1">
      <c r="A51" s="5">
        <v>0</v>
      </c>
      <c r="B51" s="6" t="s">
        <v>379</v>
      </c>
      <c r="C51" s="13">
        <v>864.9</v>
      </c>
      <c r="D51" s="8" t="s">
        <v>380</v>
      </c>
      <c r="E51" s="8" t="s">
        <v>381</v>
      </c>
      <c r="F51" s="8" t="s">
        <v>382</v>
      </c>
      <c r="G51" s="6" t="s">
        <v>53</v>
      </c>
      <c r="H51" s="6" t="s">
        <v>38</v>
      </c>
      <c r="I51" s="8" t="s">
        <v>73</v>
      </c>
      <c r="J51" s="9">
        <v>1</v>
      </c>
      <c r="K51" s="9">
        <v>192</v>
      </c>
      <c r="L51" s="9">
        <v>2023</v>
      </c>
      <c r="M51" s="8" t="s">
        <v>383</v>
      </c>
      <c r="N51" s="8" t="s">
        <v>41</v>
      </c>
      <c r="O51" s="8" t="s">
        <v>42</v>
      </c>
      <c r="P51" s="6" t="s">
        <v>75</v>
      </c>
      <c r="Q51" s="8" t="s">
        <v>76</v>
      </c>
      <c r="R51" s="10" t="s">
        <v>77</v>
      </c>
      <c r="S51" s="11"/>
      <c r="T51" s="6"/>
      <c r="U51" s="27" t="str">
        <f>HYPERLINK("https://media.infra-m.ru/2045/2045855/cover/2045855.jpg", "Обложка")</f>
        <v>Обложка</v>
      </c>
      <c r="V51" s="27" t="str">
        <f>HYPERLINK("https://znanium.com/catalog/product/1039428", "Ознакомиться")</f>
        <v>Ознакомиться</v>
      </c>
      <c r="W51" s="8" t="s">
        <v>384</v>
      </c>
      <c r="X51" s="6"/>
      <c r="Y51" s="6"/>
      <c r="Z51" s="6"/>
      <c r="AA51" s="6" t="s">
        <v>273</v>
      </c>
    </row>
    <row r="52" spans="1:27" s="4" customFormat="1" ht="51.95" customHeight="1">
      <c r="A52" s="5">
        <v>0</v>
      </c>
      <c r="B52" s="6" t="s">
        <v>385</v>
      </c>
      <c r="C52" s="7">
        <v>2304</v>
      </c>
      <c r="D52" s="8" t="s">
        <v>386</v>
      </c>
      <c r="E52" s="8" t="s">
        <v>387</v>
      </c>
      <c r="F52" s="8" t="s">
        <v>388</v>
      </c>
      <c r="G52" s="6" t="s">
        <v>37</v>
      </c>
      <c r="H52" s="6" t="s">
        <v>38</v>
      </c>
      <c r="I52" s="8" t="s">
        <v>112</v>
      </c>
      <c r="J52" s="9">
        <v>1</v>
      </c>
      <c r="K52" s="9">
        <v>641</v>
      </c>
      <c r="L52" s="9">
        <v>2021</v>
      </c>
      <c r="M52" s="8" t="s">
        <v>389</v>
      </c>
      <c r="N52" s="8" t="s">
        <v>41</v>
      </c>
      <c r="O52" s="8" t="s">
        <v>42</v>
      </c>
      <c r="P52" s="6" t="s">
        <v>103</v>
      </c>
      <c r="Q52" s="8" t="s">
        <v>114</v>
      </c>
      <c r="R52" s="10" t="s">
        <v>390</v>
      </c>
      <c r="S52" s="11" t="s">
        <v>391</v>
      </c>
      <c r="T52" s="6"/>
      <c r="U52" s="27" t="str">
        <f>HYPERLINK("https://media.infra-m.ru/2081/2081974/cover/2081974.jpg", "Обложка")</f>
        <v>Обложка</v>
      </c>
      <c r="V52" s="27" t="str">
        <f>HYPERLINK("https://znanium.com/catalog/product/1893793", "Ознакомиться")</f>
        <v>Ознакомиться</v>
      </c>
      <c r="W52" s="8" t="s">
        <v>392</v>
      </c>
      <c r="X52" s="6"/>
      <c r="Y52" s="6"/>
      <c r="Z52" s="6"/>
      <c r="AA52" s="6" t="s">
        <v>334</v>
      </c>
    </row>
    <row r="53" spans="1:27" s="4" customFormat="1" ht="51.95" customHeight="1">
      <c r="A53" s="5">
        <v>0</v>
      </c>
      <c r="B53" s="6" t="s">
        <v>393</v>
      </c>
      <c r="C53" s="13">
        <v>990</v>
      </c>
      <c r="D53" s="8" t="s">
        <v>394</v>
      </c>
      <c r="E53" s="8" t="s">
        <v>395</v>
      </c>
      <c r="F53" s="8" t="s">
        <v>396</v>
      </c>
      <c r="G53" s="6" t="s">
        <v>53</v>
      </c>
      <c r="H53" s="6" t="s">
        <v>38</v>
      </c>
      <c r="I53" s="8" t="s">
        <v>73</v>
      </c>
      <c r="J53" s="9">
        <v>1</v>
      </c>
      <c r="K53" s="9">
        <v>272</v>
      </c>
      <c r="L53" s="9">
        <v>2022</v>
      </c>
      <c r="M53" s="8" t="s">
        <v>397</v>
      </c>
      <c r="N53" s="8" t="s">
        <v>41</v>
      </c>
      <c r="O53" s="8" t="s">
        <v>42</v>
      </c>
      <c r="P53" s="6" t="s">
        <v>75</v>
      </c>
      <c r="Q53" s="8" t="s">
        <v>76</v>
      </c>
      <c r="R53" s="10" t="s">
        <v>398</v>
      </c>
      <c r="S53" s="11"/>
      <c r="T53" s="6"/>
      <c r="U53" s="27" t="str">
        <f>HYPERLINK("https://media.infra-m.ru/1759/1759762/cover/1759762.jpg", "Обложка")</f>
        <v>Обложка</v>
      </c>
      <c r="V53" s="27" t="str">
        <f>HYPERLINK("https://znanium.com/catalog/product/1759762", "Ознакомиться")</f>
        <v>Ознакомиться</v>
      </c>
      <c r="W53" s="8" t="s">
        <v>399</v>
      </c>
      <c r="X53" s="6"/>
      <c r="Y53" s="6"/>
      <c r="Z53" s="6"/>
      <c r="AA53" s="6" t="s">
        <v>96</v>
      </c>
    </row>
    <row r="54" spans="1:27" s="4" customFormat="1" ht="51.95" customHeight="1">
      <c r="A54" s="5">
        <v>0</v>
      </c>
      <c r="B54" s="6" t="s">
        <v>400</v>
      </c>
      <c r="C54" s="7">
        <v>2949</v>
      </c>
      <c r="D54" s="8" t="s">
        <v>401</v>
      </c>
      <c r="E54" s="8" t="s">
        <v>402</v>
      </c>
      <c r="F54" s="8" t="s">
        <v>403</v>
      </c>
      <c r="G54" s="6" t="s">
        <v>111</v>
      </c>
      <c r="H54" s="6" t="s">
        <v>38</v>
      </c>
      <c r="I54" s="8" t="s">
        <v>156</v>
      </c>
      <c r="J54" s="9">
        <v>1</v>
      </c>
      <c r="K54" s="9">
        <v>296</v>
      </c>
      <c r="L54" s="9">
        <v>2024</v>
      </c>
      <c r="M54" s="8" t="s">
        <v>404</v>
      </c>
      <c r="N54" s="8" t="s">
        <v>41</v>
      </c>
      <c r="O54" s="8" t="s">
        <v>42</v>
      </c>
      <c r="P54" s="6" t="s">
        <v>43</v>
      </c>
      <c r="Q54" s="8" t="s">
        <v>123</v>
      </c>
      <c r="R54" s="10" t="s">
        <v>229</v>
      </c>
      <c r="S54" s="11" t="s">
        <v>405</v>
      </c>
      <c r="T54" s="6"/>
      <c r="U54" s="27" t="str">
        <f>HYPERLINK("https://media.infra-m.ru/2047/2047071/cover/2047071.jpg", "Обложка")</f>
        <v>Обложка</v>
      </c>
      <c r="V54" s="27" t="str">
        <f>HYPERLINK("https://znanium.com/catalog/product/2047071", "Ознакомиться")</f>
        <v>Ознакомиться</v>
      </c>
      <c r="W54" s="8" t="s">
        <v>160</v>
      </c>
      <c r="X54" s="6"/>
      <c r="Y54" s="6"/>
      <c r="Z54" s="6"/>
      <c r="AA54" s="6" t="s">
        <v>273</v>
      </c>
    </row>
    <row r="55" spans="1:27" s="4" customFormat="1" ht="51.95" customHeight="1">
      <c r="A55" s="5">
        <v>0</v>
      </c>
      <c r="B55" s="6" t="s">
        <v>406</v>
      </c>
      <c r="C55" s="7">
        <v>1230</v>
      </c>
      <c r="D55" s="8" t="s">
        <v>407</v>
      </c>
      <c r="E55" s="8" t="s">
        <v>408</v>
      </c>
      <c r="F55" s="8" t="s">
        <v>409</v>
      </c>
      <c r="G55" s="6" t="s">
        <v>111</v>
      </c>
      <c r="H55" s="6" t="s">
        <v>38</v>
      </c>
      <c r="I55" s="8" t="s">
        <v>156</v>
      </c>
      <c r="J55" s="9">
        <v>1</v>
      </c>
      <c r="K55" s="9">
        <v>267</v>
      </c>
      <c r="L55" s="9">
        <v>2024</v>
      </c>
      <c r="M55" s="8" t="s">
        <v>410</v>
      </c>
      <c r="N55" s="8" t="s">
        <v>41</v>
      </c>
      <c r="O55" s="8" t="s">
        <v>42</v>
      </c>
      <c r="P55" s="6" t="s">
        <v>43</v>
      </c>
      <c r="Q55" s="8" t="s">
        <v>123</v>
      </c>
      <c r="R55" s="10" t="s">
        <v>77</v>
      </c>
      <c r="S55" s="11" t="s">
        <v>411</v>
      </c>
      <c r="T55" s="6"/>
      <c r="U55" s="27" t="str">
        <f>HYPERLINK("https://media.infra-m.ru/2085/2085112/cover/2085112.jpg", "Обложка")</f>
        <v>Обложка</v>
      </c>
      <c r="V55" s="27" t="str">
        <f>HYPERLINK("https://znanium.com/catalog/product/2085112", "Ознакомиться")</f>
        <v>Ознакомиться</v>
      </c>
      <c r="W55" s="8" t="s">
        <v>298</v>
      </c>
      <c r="X55" s="6"/>
      <c r="Y55" s="6"/>
      <c r="Z55" s="6"/>
      <c r="AA55" s="6" t="s">
        <v>86</v>
      </c>
    </row>
    <row r="56" spans="1:27" s="4" customFormat="1" ht="42" customHeight="1">
      <c r="A56" s="5">
        <v>0</v>
      </c>
      <c r="B56" s="6" t="s">
        <v>412</v>
      </c>
      <c r="C56" s="13">
        <v>804</v>
      </c>
      <c r="D56" s="8" t="s">
        <v>413</v>
      </c>
      <c r="E56" s="8" t="s">
        <v>414</v>
      </c>
      <c r="F56" s="8" t="s">
        <v>415</v>
      </c>
      <c r="G56" s="6" t="s">
        <v>53</v>
      </c>
      <c r="H56" s="6" t="s">
        <v>38</v>
      </c>
      <c r="I56" s="8" t="s">
        <v>73</v>
      </c>
      <c r="J56" s="9">
        <v>1</v>
      </c>
      <c r="K56" s="9">
        <v>168</v>
      </c>
      <c r="L56" s="9">
        <v>2023</v>
      </c>
      <c r="M56" s="8" t="s">
        <v>416</v>
      </c>
      <c r="N56" s="8" t="s">
        <v>41</v>
      </c>
      <c r="O56" s="8" t="s">
        <v>42</v>
      </c>
      <c r="P56" s="6" t="s">
        <v>75</v>
      </c>
      <c r="Q56" s="8" t="s">
        <v>76</v>
      </c>
      <c r="R56" s="10" t="s">
        <v>417</v>
      </c>
      <c r="S56" s="11"/>
      <c r="T56" s="6"/>
      <c r="U56" s="27" t="str">
        <f>HYPERLINK("https://media.infra-m.ru/2058/2058757/cover/2058757.jpg", "Обложка")</f>
        <v>Обложка</v>
      </c>
      <c r="V56" s="27" t="str">
        <f>HYPERLINK("https://znanium.com/catalog/product/1864088", "Ознакомиться")</f>
        <v>Ознакомиться</v>
      </c>
      <c r="W56" s="8" t="s">
        <v>298</v>
      </c>
      <c r="X56" s="6"/>
      <c r="Y56" s="6"/>
      <c r="Z56" s="6"/>
      <c r="AA56" s="6" t="s">
        <v>273</v>
      </c>
    </row>
    <row r="57" spans="1:27" s="4" customFormat="1" ht="42" customHeight="1">
      <c r="A57" s="5">
        <v>0</v>
      </c>
      <c r="B57" s="6" t="s">
        <v>418</v>
      </c>
      <c r="C57" s="13">
        <v>840</v>
      </c>
      <c r="D57" s="8" t="s">
        <v>419</v>
      </c>
      <c r="E57" s="8" t="s">
        <v>420</v>
      </c>
      <c r="F57" s="8" t="s">
        <v>421</v>
      </c>
      <c r="G57" s="6" t="s">
        <v>53</v>
      </c>
      <c r="H57" s="6" t="s">
        <v>38</v>
      </c>
      <c r="I57" s="8" t="s">
        <v>73</v>
      </c>
      <c r="J57" s="9">
        <v>1</v>
      </c>
      <c r="K57" s="9">
        <v>186</v>
      </c>
      <c r="L57" s="9">
        <v>2023</v>
      </c>
      <c r="M57" s="8" t="s">
        <v>422</v>
      </c>
      <c r="N57" s="8" t="s">
        <v>41</v>
      </c>
      <c r="O57" s="8" t="s">
        <v>42</v>
      </c>
      <c r="P57" s="6" t="s">
        <v>75</v>
      </c>
      <c r="Q57" s="8" t="s">
        <v>76</v>
      </c>
      <c r="R57" s="10" t="s">
        <v>77</v>
      </c>
      <c r="S57" s="11"/>
      <c r="T57" s="6"/>
      <c r="U57" s="27" t="str">
        <f>HYPERLINK("https://media.infra-m.ru/2045/2045885/cover/2045885.jpg", "Обложка")</f>
        <v>Обложка</v>
      </c>
      <c r="V57" s="27" t="str">
        <f>HYPERLINK("https://znanium.com/catalog/product/2045885", "Ознакомиться")</f>
        <v>Ознакомиться</v>
      </c>
      <c r="W57" s="8" t="s">
        <v>423</v>
      </c>
      <c r="X57" s="6"/>
      <c r="Y57" s="6"/>
      <c r="Z57" s="6"/>
      <c r="AA57" s="6" t="s">
        <v>334</v>
      </c>
    </row>
    <row r="58" spans="1:27" s="4" customFormat="1" ht="44.1" customHeight="1">
      <c r="A58" s="5">
        <v>0</v>
      </c>
      <c r="B58" s="6" t="s">
        <v>424</v>
      </c>
      <c r="C58" s="13">
        <v>574</v>
      </c>
      <c r="D58" s="8" t="s">
        <v>425</v>
      </c>
      <c r="E58" s="8" t="s">
        <v>426</v>
      </c>
      <c r="F58" s="8" t="s">
        <v>427</v>
      </c>
      <c r="G58" s="6" t="s">
        <v>53</v>
      </c>
      <c r="H58" s="6" t="s">
        <v>38</v>
      </c>
      <c r="I58" s="8" t="s">
        <v>73</v>
      </c>
      <c r="J58" s="9">
        <v>1</v>
      </c>
      <c r="K58" s="9">
        <v>126</v>
      </c>
      <c r="L58" s="9">
        <v>2023</v>
      </c>
      <c r="M58" s="8" t="s">
        <v>428</v>
      </c>
      <c r="N58" s="8" t="s">
        <v>41</v>
      </c>
      <c r="O58" s="8" t="s">
        <v>42</v>
      </c>
      <c r="P58" s="6" t="s">
        <v>75</v>
      </c>
      <c r="Q58" s="8" t="s">
        <v>76</v>
      </c>
      <c r="R58" s="10" t="s">
        <v>429</v>
      </c>
      <c r="S58" s="11"/>
      <c r="T58" s="6"/>
      <c r="U58" s="27" t="str">
        <f>HYPERLINK("https://media.infra-m.ru/1851/1851649/cover/1851649.jpg", "Обложка")</f>
        <v>Обложка</v>
      </c>
      <c r="V58" s="27" t="str">
        <f>HYPERLINK("https://znanium.com/catalog/product/1462723", "Ознакомиться")</f>
        <v>Ознакомиться</v>
      </c>
      <c r="W58" s="8" t="s">
        <v>377</v>
      </c>
      <c r="X58" s="6"/>
      <c r="Y58" s="6"/>
      <c r="Z58" s="6"/>
      <c r="AA58" s="6" t="s">
        <v>96</v>
      </c>
    </row>
    <row r="59" spans="1:27" s="4" customFormat="1" ht="51.95" customHeight="1">
      <c r="A59" s="5">
        <v>0</v>
      </c>
      <c r="B59" s="6" t="s">
        <v>430</v>
      </c>
      <c r="C59" s="7">
        <v>1584.9</v>
      </c>
      <c r="D59" s="8" t="s">
        <v>431</v>
      </c>
      <c r="E59" s="8" t="s">
        <v>432</v>
      </c>
      <c r="F59" s="8" t="s">
        <v>433</v>
      </c>
      <c r="G59" s="6" t="s">
        <v>37</v>
      </c>
      <c r="H59" s="6" t="s">
        <v>38</v>
      </c>
      <c r="I59" s="8" t="s">
        <v>355</v>
      </c>
      <c r="J59" s="9">
        <v>1</v>
      </c>
      <c r="K59" s="9">
        <v>352</v>
      </c>
      <c r="L59" s="9">
        <v>2023</v>
      </c>
      <c r="M59" s="8" t="s">
        <v>434</v>
      </c>
      <c r="N59" s="8" t="s">
        <v>41</v>
      </c>
      <c r="O59" s="8" t="s">
        <v>42</v>
      </c>
      <c r="P59" s="6" t="s">
        <v>43</v>
      </c>
      <c r="Q59" s="8" t="s">
        <v>123</v>
      </c>
      <c r="R59" s="10" t="s">
        <v>435</v>
      </c>
      <c r="S59" s="11"/>
      <c r="T59" s="6"/>
      <c r="U59" s="27" t="str">
        <f>HYPERLINK("https://media.infra-m.ru/1912/1912967/cover/1912967.jpg", "Обложка")</f>
        <v>Обложка</v>
      </c>
      <c r="V59" s="27" t="str">
        <f>HYPERLINK("https://znanium.com/catalog/product/1009063", "Ознакомиться")</f>
        <v>Ознакомиться</v>
      </c>
      <c r="W59" s="8" t="s">
        <v>359</v>
      </c>
      <c r="X59" s="6"/>
      <c r="Y59" s="6"/>
      <c r="Z59" s="6"/>
      <c r="AA59" s="6" t="s">
        <v>60</v>
      </c>
    </row>
    <row r="60" spans="1:27" s="4" customFormat="1" ht="51.95" customHeight="1">
      <c r="A60" s="5">
        <v>0</v>
      </c>
      <c r="B60" s="6" t="s">
        <v>436</v>
      </c>
      <c r="C60" s="7">
        <v>1194.9000000000001</v>
      </c>
      <c r="D60" s="8" t="s">
        <v>437</v>
      </c>
      <c r="E60" s="8" t="s">
        <v>438</v>
      </c>
      <c r="F60" s="8" t="s">
        <v>439</v>
      </c>
      <c r="G60" s="6" t="s">
        <v>37</v>
      </c>
      <c r="H60" s="6" t="s">
        <v>38</v>
      </c>
      <c r="I60" s="8" t="s">
        <v>112</v>
      </c>
      <c r="J60" s="9">
        <v>1</v>
      </c>
      <c r="K60" s="9">
        <v>352</v>
      </c>
      <c r="L60" s="9">
        <v>2020</v>
      </c>
      <c r="M60" s="8" t="s">
        <v>440</v>
      </c>
      <c r="N60" s="8" t="s">
        <v>41</v>
      </c>
      <c r="O60" s="8" t="s">
        <v>42</v>
      </c>
      <c r="P60" s="6" t="s">
        <v>43</v>
      </c>
      <c r="Q60" s="8" t="s">
        <v>114</v>
      </c>
      <c r="R60" s="10" t="s">
        <v>441</v>
      </c>
      <c r="S60" s="11" t="s">
        <v>442</v>
      </c>
      <c r="T60" s="6" t="s">
        <v>235</v>
      </c>
      <c r="U60" s="27" t="str">
        <f>HYPERLINK("https://media.infra-m.ru/1044/1044553/cover/1044553.jpg", "Обложка")</f>
        <v>Обложка</v>
      </c>
      <c r="V60" s="27" t="str">
        <f>HYPERLINK("https://znanium.com/catalog/product/1044553", "Ознакомиться")</f>
        <v>Ознакомиться</v>
      </c>
      <c r="W60" s="8" t="s">
        <v>359</v>
      </c>
      <c r="X60" s="6"/>
      <c r="Y60" s="6"/>
      <c r="Z60" s="6" t="s">
        <v>443</v>
      </c>
      <c r="AA60" s="6" t="s">
        <v>78</v>
      </c>
    </row>
    <row r="61" spans="1:27" s="4" customFormat="1" ht="44.1" customHeight="1">
      <c r="A61" s="5">
        <v>0</v>
      </c>
      <c r="B61" s="6" t="s">
        <v>444</v>
      </c>
      <c r="C61" s="7">
        <v>1990</v>
      </c>
      <c r="D61" s="8" t="s">
        <v>445</v>
      </c>
      <c r="E61" s="8" t="s">
        <v>446</v>
      </c>
      <c r="F61" s="8" t="s">
        <v>447</v>
      </c>
      <c r="G61" s="6" t="s">
        <v>111</v>
      </c>
      <c r="H61" s="6" t="s">
        <v>38</v>
      </c>
      <c r="I61" s="8" t="s">
        <v>54</v>
      </c>
      <c r="J61" s="9">
        <v>1</v>
      </c>
      <c r="K61" s="9">
        <v>441</v>
      </c>
      <c r="L61" s="9">
        <v>2023</v>
      </c>
      <c r="M61" s="8" t="s">
        <v>448</v>
      </c>
      <c r="N61" s="8" t="s">
        <v>41</v>
      </c>
      <c r="O61" s="8" t="s">
        <v>42</v>
      </c>
      <c r="P61" s="6" t="s">
        <v>449</v>
      </c>
      <c r="Q61" s="8" t="s">
        <v>123</v>
      </c>
      <c r="R61" s="10" t="s">
        <v>450</v>
      </c>
      <c r="S61" s="11"/>
      <c r="T61" s="6" t="s">
        <v>235</v>
      </c>
      <c r="U61" s="27" t="str">
        <f>HYPERLINK("https://media.infra-m.ru/1983/1983268/cover/1983268.jpg", "Обложка")</f>
        <v>Обложка</v>
      </c>
      <c r="V61" s="27" t="str">
        <f>HYPERLINK("https://znanium.com/catalog/product/1983268", "Ознакомиться")</f>
        <v>Ознакомиться</v>
      </c>
      <c r="W61" s="8" t="s">
        <v>371</v>
      </c>
      <c r="X61" s="6"/>
      <c r="Y61" s="6"/>
      <c r="Z61" s="6"/>
      <c r="AA61" s="6" t="s">
        <v>451</v>
      </c>
    </row>
    <row r="62" spans="1:27" s="4" customFormat="1" ht="42" customHeight="1">
      <c r="A62" s="5">
        <v>0</v>
      </c>
      <c r="B62" s="6" t="s">
        <v>452</v>
      </c>
      <c r="C62" s="7">
        <v>1990</v>
      </c>
      <c r="D62" s="8" t="s">
        <v>453</v>
      </c>
      <c r="E62" s="8" t="s">
        <v>454</v>
      </c>
      <c r="F62" s="8" t="s">
        <v>455</v>
      </c>
      <c r="G62" s="6" t="s">
        <v>37</v>
      </c>
      <c r="H62" s="6" t="s">
        <v>38</v>
      </c>
      <c r="I62" s="8" t="s">
        <v>156</v>
      </c>
      <c r="J62" s="9">
        <v>1</v>
      </c>
      <c r="K62" s="9">
        <v>420</v>
      </c>
      <c r="L62" s="9">
        <v>2023</v>
      </c>
      <c r="M62" s="8" t="s">
        <v>456</v>
      </c>
      <c r="N62" s="8" t="s">
        <v>41</v>
      </c>
      <c r="O62" s="8" t="s">
        <v>42</v>
      </c>
      <c r="P62" s="6" t="s">
        <v>103</v>
      </c>
      <c r="Q62" s="8" t="s">
        <v>123</v>
      </c>
      <c r="R62" s="10" t="s">
        <v>77</v>
      </c>
      <c r="S62" s="11"/>
      <c r="T62" s="6" t="s">
        <v>235</v>
      </c>
      <c r="U62" s="27" t="str">
        <f>HYPERLINK("https://media.infra-m.ru/1048/1048793/cover/1048793.jpg", "Обложка")</f>
        <v>Обложка</v>
      </c>
      <c r="V62" s="27" t="str">
        <f>HYPERLINK("https://znanium.com/catalog/product/1048793", "Ознакомиться")</f>
        <v>Ознакомиться</v>
      </c>
      <c r="W62" s="8" t="s">
        <v>423</v>
      </c>
      <c r="X62" s="6" t="s">
        <v>457</v>
      </c>
      <c r="Y62" s="6"/>
      <c r="Z62" s="6"/>
      <c r="AA62" s="6" t="s">
        <v>48</v>
      </c>
    </row>
    <row r="63" spans="1:27" s="4" customFormat="1" ht="51.95" customHeight="1">
      <c r="A63" s="5">
        <v>0</v>
      </c>
      <c r="B63" s="6" t="s">
        <v>458</v>
      </c>
      <c r="C63" s="7">
        <v>1000</v>
      </c>
      <c r="D63" s="8" t="s">
        <v>459</v>
      </c>
      <c r="E63" s="8" t="s">
        <v>460</v>
      </c>
      <c r="F63" s="8" t="s">
        <v>461</v>
      </c>
      <c r="G63" s="6" t="s">
        <v>111</v>
      </c>
      <c r="H63" s="6" t="s">
        <v>286</v>
      </c>
      <c r="I63" s="8" t="s">
        <v>156</v>
      </c>
      <c r="J63" s="9">
        <v>1</v>
      </c>
      <c r="K63" s="9">
        <v>223</v>
      </c>
      <c r="L63" s="9">
        <v>2023</v>
      </c>
      <c r="M63" s="8" t="s">
        <v>462</v>
      </c>
      <c r="N63" s="8" t="s">
        <v>41</v>
      </c>
      <c r="O63" s="8" t="s">
        <v>42</v>
      </c>
      <c r="P63" s="6" t="s">
        <v>463</v>
      </c>
      <c r="Q63" s="8" t="s">
        <v>123</v>
      </c>
      <c r="R63" s="10" t="s">
        <v>325</v>
      </c>
      <c r="S63" s="11" t="s">
        <v>464</v>
      </c>
      <c r="T63" s="6"/>
      <c r="U63" s="27" t="str">
        <f>HYPERLINK("https://media.infra-m.ru/1865/1865314/cover/1865314.jpg", "Обложка")</f>
        <v>Обложка</v>
      </c>
      <c r="V63" s="27" t="str">
        <f>HYPERLINK("https://znanium.com/catalog/product/1865314", "Ознакомиться")</f>
        <v>Ознакомиться</v>
      </c>
      <c r="W63" s="8" t="s">
        <v>142</v>
      </c>
      <c r="X63" s="6"/>
      <c r="Y63" s="6"/>
      <c r="Z63" s="6"/>
      <c r="AA63" s="6" t="s">
        <v>78</v>
      </c>
    </row>
    <row r="64" spans="1:27" s="4" customFormat="1" ht="51.95" customHeight="1">
      <c r="A64" s="5">
        <v>0</v>
      </c>
      <c r="B64" s="6" t="s">
        <v>465</v>
      </c>
      <c r="C64" s="7">
        <v>1950</v>
      </c>
      <c r="D64" s="8" t="s">
        <v>466</v>
      </c>
      <c r="E64" s="8" t="s">
        <v>467</v>
      </c>
      <c r="F64" s="8" t="s">
        <v>468</v>
      </c>
      <c r="G64" s="6" t="s">
        <v>37</v>
      </c>
      <c r="H64" s="6" t="s">
        <v>38</v>
      </c>
      <c r="I64" s="8" t="s">
        <v>39</v>
      </c>
      <c r="J64" s="9">
        <v>1</v>
      </c>
      <c r="K64" s="9">
        <v>432</v>
      </c>
      <c r="L64" s="9">
        <v>2023</v>
      </c>
      <c r="M64" s="8" t="s">
        <v>469</v>
      </c>
      <c r="N64" s="8" t="s">
        <v>41</v>
      </c>
      <c r="O64" s="8" t="s">
        <v>42</v>
      </c>
      <c r="P64" s="6" t="s">
        <v>43</v>
      </c>
      <c r="Q64" s="8" t="s">
        <v>92</v>
      </c>
      <c r="R64" s="10" t="s">
        <v>470</v>
      </c>
      <c r="S64" s="11" t="s">
        <v>471</v>
      </c>
      <c r="T64" s="6"/>
      <c r="U64" s="27" t="str">
        <f>HYPERLINK("https://media.infra-m.ru/2039/2039903/cover/2039903.jpg", "Обложка")</f>
        <v>Обложка</v>
      </c>
      <c r="V64" s="27" t="str">
        <f>HYPERLINK("https://znanium.com/catalog/product/2039903", "Ознакомиться")</f>
        <v>Ознакомиться</v>
      </c>
      <c r="W64" s="8" t="s">
        <v>472</v>
      </c>
      <c r="X64" s="6"/>
      <c r="Y64" s="6"/>
      <c r="Z64" s="6"/>
      <c r="AA64" s="6" t="s">
        <v>60</v>
      </c>
    </row>
    <row r="65" spans="1:27" s="4" customFormat="1" ht="51.95" customHeight="1">
      <c r="A65" s="5">
        <v>0</v>
      </c>
      <c r="B65" s="6" t="s">
        <v>473</v>
      </c>
      <c r="C65" s="7">
        <v>1094</v>
      </c>
      <c r="D65" s="8" t="s">
        <v>474</v>
      </c>
      <c r="E65" s="8" t="s">
        <v>475</v>
      </c>
      <c r="F65" s="8" t="s">
        <v>476</v>
      </c>
      <c r="G65" s="6" t="s">
        <v>37</v>
      </c>
      <c r="H65" s="6" t="s">
        <v>226</v>
      </c>
      <c r="I65" s="8"/>
      <c r="J65" s="9">
        <v>1</v>
      </c>
      <c r="K65" s="9">
        <v>237</v>
      </c>
      <c r="L65" s="9">
        <v>2023</v>
      </c>
      <c r="M65" s="8" t="s">
        <v>477</v>
      </c>
      <c r="N65" s="8" t="s">
        <v>41</v>
      </c>
      <c r="O65" s="8" t="s">
        <v>42</v>
      </c>
      <c r="P65" s="6" t="s">
        <v>43</v>
      </c>
      <c r="Q65" s="8" t="s">
        <v>92</v>
      </c>
      <c r="R65" s="10" t="s">
        <v>441</v>
      </c>
      <c r="S65" s="11" t="s">
        <v>478</v>
      </c>
      <c r="T65" s="6"/>
      <c r="U65" s="27" t="str">
        <f>HYPERLINK("https://media.infra-m.ru/1912/1912974/cover/1912974.jpg", "Обложка")</f>
        <v>Обложка</v>
      </c>
      <c r="V65" s="27" t="str">
        <f>HYPERLINK("https://znanium.com/catalog/product/1062285", "Ознакомиться")</f>
        <v>Ознакомиться</v>
      </c>
      <c r="W65" s="8" t="s">
        <v>142</v>
      </c>
      <c r="X65" s="6"/>
      <c r="Y65" s="6"/>
      <c r="Z65" s="6"/>
      <c r="AA65" s="6" t="s">
        <v>143</v>
      </c>
    </row>
    <row r="66" spans="1:27" s="4" customFormat="1" ht="51.95" customHeight="1">
      <c r="A66" s="5">
        <v>0</v>
      </c>
      <c r="B66" s="6" t="s">
        <v>479</v>
      </c>
      <c r="C66" s="7">
        <v>1314</v>
      </c>
      <c r="D66" s="8" t="s">
        <v>480</v>
      </c>
      <c r="E66" s="8" t="s">
        <v>481</v>
      </c>
      <c r="F66" s="8" t="s">
        <v>482</v>
      </c>
      <c r="G66" s="6" t="s">
        <v>111</v>
      </c>
      <c r="H66" s="6" t="s">
        <v>38</v>
      </c>
      <c r="I66" s="8" t="s">
        <v>156</v>
      </c>
      <c r="J66" s="9">
        <v>1</v>
      </c>
      <c r="K66" s="9">
        <v>286</v>
      </c>
      <c r="L66" s="9">
        <v>2024</v>
      </c>
      <c r="M66" s="8" t="s">
        <v>483</v>
      </c>
      <c r="N66" s="8" t="s">
        <v>41</v>
      </c>
      <c r="O66" s="8" t="s">
        <v>42</v>
      </c>
      <c r="P66" s="6" t="s">
        <v>43</v>
      </c>
      <c r="Q66" s="8" t="s">
        <v>123</v>
      </c>
      <c r="R66" s="10" t="s">
        <v>484</v>
      </c>
      <c r="S66" s="11" t="s">
        <v>485</v>
      </c>
      <c r="T66" s="6"/>
      <c r="U66" s="27" t="str">
        <f>HYPERLINK("https://media.infra-m.ru/2082/2082924/cover/2082924.jpg", "Обложка")</f>
        <v>Обложка</v>
      </c>
      <c r="V66" s="27" t="str">
        <f>HYPERLINK("https://znanium.com/catalog/product/1842405", "Ознакомиться")</f>
        <v>Ознакомиться</v>
      </c>
      <c r="W66" s="8" t="s">
        <v>486</v>
      </c>
      <c r="X66" s="6"/>
      <c r="Y66" s="6"/>
      <c r="Z66" s="6"/>
      <c r="AA66" s="6" t="s">
        <v>334</v>
      </c>
    </row>
    <row r="67" spans="1:27" s="4" customFormat="1" ht="51.95" customHeight="1">
      <c r="A67" s="5">
        <v>0</v>
      </c>
      <c r="B67" s="6" t="s">
        <v>487</v>
      </c>
      <c r="C67" s="7">
        <v>1434</v>
      </c>
      <c r="D67" s="8" t="s">
        <v>488</v>
      </c>
      <c r="E67" s="8" t="s">
        <v>489</v>
      </c>
      <c r="F67" s="8" t="s">
        <v>490</v>
      </c>
      <c r="G67" s="6" t="s">
        <v>111</v>
      </c>
      <c r="H67" s="6" t="s">
        <v>38</v>
      </c>
      <c r="I67" s="8" t="s">
        <v>156</v>
      </c>
      <c r="J67" s="9">
        <v>1</v>
      </c>
      <c r="K67" s="9">
        <v>313</v>
      </c>
      <c r="L67" s="9">
        <v>2023</v>
      </c>
      <c r="M67" s="8" t="s">
        <v>491</v>
      </c>
      <c r="N67" s="8" t="s">
        <v>41</v>
      </c>
      <c r="O67" s="8" t="s">
        <v>42</v>
      </c>
      <c r="P67" s="6" t="s">
        <v>43</v>
      </c>
      <c r="Q67" s="8" t="s">
        <v>123</v>
      </c>
      <c r="R67" s="10" t="s">
        <v>229</v>
      </c>
      <c r="S67" s="11" t="s">
        <v>485</v>
      </c>
      <c r="T67" s="6"/>
      <c r="U67" s="27" t="str">
        <f>HYPERLINK("https://media.infra-m.ru/2082/2082728/cover/2082728.jpg", "Обложка")</f>
        <v>Обложка</v>
      </c>
      <c r="V67" s="27" t="str">
        <f>HYPERLINK("https://znanium.com/catalog/product/1238544", "Ознакомиться")</f>
        <v>Ознакомиться</v>
      </c>
      <c r="W67" s="8" t="s">
        <v>486</v>
      </c>
      <c r="X67" s="6"/>
      <c r="Y67" s="6"/>
      <c r="Z67" s="6"/>
      <c r="AA67" s="6" t="s">
        <v>86</v>
      </c>
    </row>
    <row r="68" spans="1:27" s="4" customFormat="1" ht="42" customHeight="1">
      <c r="A68" s="5">
        <v>0</v>
      </c>
      <c r="B68" s="6" t="s">
        <v>492</v>
      </c>
      <c r="C68" s="13">
        <v>640</v>
      </c>
      <c r="D68" s="8" t="s">
        <v>493</v>
      </c>
      <c r="E68" s="8" t="s">
        <v>494</v>
      </c>
      <c r="F68" s="8" t="s">
        <v>323</v>
      </c>
      <c r="G68" s="6" t="s">
        <v>111</v>
      </c>
      <c r="H68" s="6" t="s">
        <v>38</v>
      </c>
      <c r="I68" s="8" t="s">
        <v>156</v>
      </c>
      <c r="J68" s="9">
        <v>1</v>
      </c>
      <c r="K68" s="9">
        <v>162</v>
      </c>
      <c r="L68" s="9">
        <v>2022</v>
      </c>
      <c r="M68" s="8" t="s">
        <v>495</v>
      </c>
      <c r="N68" s="8" t="s">
        <v>41</v>
      </c>
      <c r="O68" s="8" t="s">
        <v>42</v>
      </c>
      <c r="P68" s="6" t="s">
        <v>43</v>
      </c>
      <c r="Q68" s="8" t="s">
        <v>123</v>
      </c>
      <c r="R68" s="10" t="s">
        <v>496</v>
      </c>
      <c r="S68" s="11"/>
      <c r="T68" s="6"/>
      <c r="U68" s="27" t="str">
        <f>HYPERLINK("https://media.infra-m.ru/1864/1864095/cover/1864095.jpg", "Обложка")</f>
        <v>Обложка</v>
      </c>
      <c r="V68" s="27" t="str">
        <f>HYPERLINK("https://znanium.com/catalog/product/1864095", "Ознакомиться")</f>
        <v>Ознакомиться</v>
      </c>
      <c r="W68" s="8" t="s">
        <v>142</v>
      </c>
      <c r="X68" s="6"/>
      <c r="Y68" s="6"/>
      <c r="Z68" s="6"/>
      <c r="AA68" s="6" t="s">
        <v>273</v>
      </c>
    </row>
    <row r="69" spans="1:27" s="4" customFormat="1" ht="42" customHeight="1">
      <c r="A69" s="5">
        <v>0</v>
      </c>
      <c r="B69" s="6" t="s">
        <v>497</v>
      </c>
      <c r="C69" s="7">
        <v>1280</v>
      </c>
      <c r="D69" s="8" t="s">
        <v>498</v>
      </c>
      <c r="E69" s="8" t="s">
        <v>499</v>
      </c>
      <c r="F69" s="8" t="s">
        <v>500</v>
      </c>
      <c r="G69" s="6" t="s">
        <v>37</v>
      </c>
      <c r="H69" s="6" t="s">
        <v>38</v>
      </c>
      <c r="I69" s="8" t="s">
        <v>73</v>
      </c>
      <c r="J69" s="9">
        <v>1</v>
      </c>
      <c r="K69" s="9">
        <v>251</v>
      </c>
      <c r="L69" s="9">
        <v>2022</v>
      </c>
      <c r="M69" s="8" t="s">
        <v>501</v>
      </c>
      <c r="N69" s="8" t="s">
        <v>41</v>
      </c>
      <c r="O69" s="8" t="s">
        <v>42</v>
      </c>
      <c r="P69" s="6" t="s">
        <v>75</v>
      </c>
      <c r="Q69" s="8" t="s">
        <v>76</v>
      </c>
      <c r="R69" s="10" t="s">
        <v>77</v>
      </c>
      <c r="S69" s="11"/>
      <c r="T69" s="6"/>
      <c r="U69" s="27" t="str">
        <f>HYPERLINK("https://media.infra-m.ru/1599/1599004/cover/1599004.jpg", "Обложка")</f>
        <v>Обложка</v>
      </c>
      <c r="V69" s="27" t="str">
        <f>HYPERLINK("https://znanium.com/catalog/product/1599004", "Ознакомиться")</f>
        <v>Ознакомиться</v>
      </c>
      <c r="W69" s="8"/>
      <c r="X69" s="6"/>
      <c r="Y69" s="6"/>
      <c r="Z69" s="6"/>
      <c r="AA69" s="6" t="s">
        <v>151</v>
      </c>
    </row>
    <row r="70" spans="1:27" s="4" customFormat="1" ht="44.1" customHeight="1">
      <c r="A70" s="5">
        <v>0</v>
      </c>
      <c r="B70" s="6" t="s">
        <v>502</v>
      </c>
      <c r="C70" s="7">
        <v>1430</v>
      </c>
      <c r="D70" s="8" t="s">
        <v>503</v>
      </c>
      <c r="E70" s="8" t="s">
        <v>504</v>
      </c>
      <c r="F70" s="8" t="s">
        <v>505</v>
      </c>
      <c r="G70" s="6" t="s">
        <v>53</v>
      </c>
      <c r="H70" s="6" t="s">
        <v>65</v>
      </c>
      <c r="I70" s="8" t="s">
        <v>339</v>
      </c>
      <c r="J70" s="9">
        <v>1</v>
      </c>
      <c r="K70" s="9">
        <v>111</v>
      </c>
      <c r="L70" s="9">
        <v>2022</v>
      </c>
      <c r="M70" s="8" t="s">
        <v>506</v>
      </c>
      <c r="N70" s="8" t="s">
        <v>41</v>
      </c>
      <c r="O70" s="8" t="s">
        <v>42</v>
      </c>
      <c r="P70" s="6" t="s">
        <v>43</v>
      </c>
      <c r="Q70" s="8" t="s">
        <v>92</v>
      </c>
      <c r="R70" s="10" t="s">
        <v>507</v>
      </c>
      <c r="S70" s="11"/>
      <c r="T70" s="6"/>
      <c r="U70" s="27" t="str">
        <f>HYPERLINK("https://media.infra-m.ru/1876/1876526/cover/1876526.jpg", "Обложка")</f>
        <v>Обложка</v>
      </c>
      <c r="V70" s="27" t="str">
        <f>HYPERLINK("https://znanium.com/catalog/product/429250", "Ознакомиться")</f>
        <v>Ознакомиться</v>
      </c>
      <c r="W70" s="8" t="s">
        <v>508</v>
      </c>
      <c r="X70" s="6"/>
      <c r="Y70" s="6"/>
      <c r="Z70" s="6"/>
      <c r="AA70" s="6" t="s">
        <v>143</v>
      </c>
    </row>
    <row r="71" spans="1:27" s="4" customFormat="1" ht="51.95" customHeight="1">
      <c r="A71" s="5">
        <v>0</v>
      </c>
      <c r="B71" s="6" t="s">
        <v>509</v>
      </c>
      <c r="C71" s="7">
        <v>1494.9</v>
      </c>
      <c r="D71" s="8" t="s">
        <v>510</v>
      </c>
      <c r="E71" s="8" t="s">
        <v>511</v>
      </c>
      <c r="F71" s="8" t="s">
        <v>512</v>
      </c>
      <c r="G71" s="6" t="s">
        <v>37</v>
      </c>
      <c r="H71" s="6" t="s">
        <v>286</v>
      </c>
      <c r="I71" s="8" t="s">
        <v>39</v>
      </c>
      <c r="J71" s="9">
        <v>1</v>
      </c>
      <c r="K71" s="9">
        <v>640</v>
      </c>
      <c r="L71" s="9">
        <v>2018</v>
      </c>
      <c r="M71" s="8" t="s">
        <v>513</v>
      </c>
      <c r="N71" s="8" t="s">
        <v>41</v>
      </c>
      <c r="O71" s="8" t="s">
        <v>42</v>
      </c>
      <c r="P71" s="6" t="s">
        <v>43</v>
      </c>
      <c r="Q71" s="8" t="s">
        <v>123</v>
      </c>
      <c r="R71" s="10" t="s">
        <v>514</v>
      </c>
      <c r="S71" s="11" t="s">
        <v>515</v>
      </c>
      <c r="T71" s="6"/>
      <c r="U71" s="12"/>
      <c r="V71" s="27" t="str">
        <f>HYPERLINK("https://znanium.com/catalog/product/1900379", "Ознакомиться")</f>
        <v>Ознакомиться</v>
      </c>
      <c r="W71" s="8" t="s">
        <v>516</v>
      </c>
      <c r="X71" s="6"/>
      <c r="Y71" s="6"/>
      <c r="Z71" s="6"/>
      <c r="AA71" s="6" t="s">
        <v>517</v>
      </c>
    </row>
    <row r="72" spans="1:27" s="4" customFormat="1" ht="51.95" customHeight="1">
      <c r="A72" s="5">
        <v>0</v>
      </c>
      <c r="B72" s="6" t="s">
        <v>518</v>
      </c>
      <c r="C72" s="7">
        <v>2100</v>
      </c>
      <c r="D72" s="8" t="s">
        <v>519</v>
      </c>
      <c r="E72" s="8" t="s">
        <v>520</v>
      </c>
      <c r="F72" s="8" t="s">
        <v>521</v>
      </c>
      <c r="G72" s="6" t="s">
        <v>111</v>
      </c>
      <c r="H72" s="6" t="s">
        <v>38</v>
      </c>
      <c r="I72" s="8" t="s">
        <v>101</v>
      </c>
      <c r="J72" s="9">
        <v>1</v>
      </c>
      <c r="K72" s="9">
        <v>470</v>
      </c>
      <c r="L72" s="9">
        <v>2023</v>
      </c>
      <c r="M72" s="8" t="s">
        <v>522</v>
      </c>
      <c r="N72" s="8" t="s">
        <v>41</v>
      </c>
      <c r="O72" s="8" t="s">
        <v>42</v>
      </c>
      <c r="P72" s="6" t="s">
        <v>43</v>
      </c>
      <c r="Q72" s="8" t="s">
        <v>92</v>
      </c>
      <c r="R72" s="10" t="s">
        <v>514</v>
      </c>
      <c r="S72" s="11" t="s">
        <v>523</v>
      </c>
      <c r="T72" s="6"/>
      <c r="U72" s="27" t="str">
        <f>HYPERLINK("https://media.infra-m.ru/1900/1900379/cover/1900379.jpg", "Обложка")</f>
        <v>Обложка</v>
      </c>
      <c r="V72" s="27" t="str">
        <f>HYPERLINK("https://znanium.com/catalog/product/1900379", "Ознакомиться")</f>
        <v>Ознакомиться</v>
      </c>
      <c r="W72" s="8" t="s">
        <v>516</v>
      </c>
      <c r="X72" s="6"/>
      <c r="Y72" s="6"/>
      <c r="Z72" s="6"/>
      <c r="AA72" s="6" t="s">
        <v>524</v>
      </c>
    </row>
    <row r="73" spans="1:27" s="4" customFormat="1" ht="51.95" customHeight="1">
      <c r="A73" s="5">
        <v>0</v>
      </c>
      <c r="B73" s="6" t="s">
        <v>525</v>
      </c>
      <c r="C73" s="13">
        <v>990</v>
      </c>
      <c r="D73" s="8" t="s">
        <v>526</v>
      </c>
      <c r="E73" s="8" t="s">
        <v>527</v>
      </c>
      <c r="F73" s="8" t="s">
        <v>528</v>
      </c>
      <c r="G73" s="6" t="s">
        <v>111</v>
      </c>
      <c r="H73" s="6" t="s">
        <v>38</v>
      </c>
      <c r="I73" s="8" t="s">
        <v>39</v>
      </c>
      <c r="J73" s="9">
        <v>1</v>
      </c>
      <c r="K73" s="9">
        <v>219</v>
      </c>
      <c r="L73" s="9">
        <v>2023</v>
      </c>
      <c r="M73" s="8" t="s">
        <v>529</v>
      </c>
      <c r="N73" s="8" t="s">
        <v>41</v>
      </c>
      <c r="O73" s="8" t="s">
        <v>42</v>
      </c>
      <c r="P73" s="6" t="s">
        <v>43</v>
      </c>
      <c r="Q73" s="8" t="s">
        <v>44</v>
      </c>
      <c r="R73" s="10" t="s">
        <v>530</v>
      </c>
      <c r="S73" s="11" t="s">
        <v>531</v>
      </c>
      <c r="T73" s="6"/>
      <c r="U73" s="27" t="str">
        <f>HYPERLINK("https://media.infra-m.ru/1918/1918607/cover/1918607.jpg", "Обложка")</f>
        <v>Обложка</v>
      </c>
      <c r="V73" s="27" t="str">
        <f>HYPERLINK("https://znanium.com/catalog/product/1918607", "Ознакомиться")</f>
        <v>Ознакомиться</v>
      </c>
      <c r="W73" s="8" t="s">
        <v>532</v>
      </c>
      <c r="X73" s="6"/>
      <c r="Y73" s="6"/>
      <c r="Z73" s="6"/>
      <c r="AA73" s="6" t="s">
        <v>273</v>
      </c>
    </row>
    <row r="74" spans="1:27" s="4" customFormat="1" ht="51.95" customHeight="1">
      <c r="A74" s="5">
        <v>0</v>
      </c>
      <c r="B74" s="6" t="s">
        <v>533</v>
      </c>
      <c r="C74" s="13">
        <v>990</v>
      </c>
      <c r="D74" s="8" t="s">
        <v>534</v>
      </c>
      <c r="E74" s="8" t="s">
        <v>527</v>
      </c>
      <c r="F74" s="8" t="s">
        <v>528</v>
      </c>
      <c r="G74" s="6" t="s">
        <v>111</v>
      </c>
      <c r="H74" s="6" t="s">
        <v>38</v>
      </c>
      <c r="I74" s="8" t="s">
        <v>112</v>
      </c>
      <c r="J74" s="9">
        <v>1</v>
      </c>
      <c r="K74" s="9">
        <v>219</v>
      </c>
      <c r="L74" s="9">
        <v>2023</v>
      </c>
      <c r="M74" s="8" t="s">
        <v>535</v>
      </c>
      <c r="N74" s="8" t="s">
        <v>41</v>
      </c>
      <c r="O74" s="8" t="s">
        <v>42</v>
      </c>
      <c r="P74" s="6" t="s">
        <v>43</v>
      </c>
      <c r="Q74" s="8" t="s">
        <v>114</v>
      </c>
      <c r="R74" s="10" t="s">
        <v>536</v>
      </c>
      <c r="S74" s="11" t="s">
        <v>537</v>
      </c>
      <c r="T74" s="6"/>
      <c r="U74" s="27" t="str">
        <f>HYPERLINK("https://media.infra-m.ru/1919/1919423/cover/1919423.jpg", "Обложка")</f>
        <v>Обложка</v>
      </c>
      <c r="V74" s="27" t="str">
        <f>HYPERLINK("https://znanium.com/catalog/product/1919423", "Ознакомиться")</f>
        <v>Ознакомиться</v>
      </c>
      <c r="W74" s="8" t="s">
        <v>532</v>
      </c>
      <c r="X74" s="6"/>
      <c r="Y74" s="6"/>
      <c r="Z74" s="6" t="s">
        <v>538</v>
      </c>
      <c r="AA74" s="6" t="s">
        <v>334</v>
      </c>
    </row>
    <row r="75" spans="1:27" s="4" customFormat="1" ht="51.95" customHeight="1">
      <c r="A75" s="5">
        <v>0</v>
      </c>
      <c r="B75" s="6" t="s">
        <v>539</v>
      </c>
      <c r="C75" s="13">
        <v>754</v>
      </c>
      <c r="D75" s="8" t="s">
        <v>540</v>
      </c>
      <c r="E75" s="8" t="s">
        <v>541</v>
      </c>
      <c r="F75" s="8" t="s">
        <v>542</v>
      </c>
      <c r="G75" s="6" t="s">
        <v>111</v>
      </c>
      <c r="H75" s="6" t="s">
        <v>38</v>
      </c>
      <c r="I75" s="8" t="s">
        <v>112</v>
      </c>
      <c r="J75" s="9">
        <v>1</v>
      </c>
      <c r="K75" s="9">
        <v>164</v>
      </c>
      <c r="L75" s="9">
        <v>2023</v>
      </c>
      <c r="M75" s="8" t="s">
        <v>543</v>
      </c>
      <c r="N75" s="8" t="s">
        <v>41</v>
      </c>
      <c r="O75" s="8" t="s">
        <v>42</v>
      </c>
      <c r="P75" s="6" t="s">
        <v>43</v>
      </c>
      <c r="Q75" s="8" t="s">
        <v>114</v>
      </c>
      <c r="R75" s="10" t="s">
        <v>544</v>
      </c>
      <c r="S75" s="11" t="s">
        <v>545</v>
      </c>
      <c r="T75" s="6"/>
      <c r="U75" s="27" t="str">
        <f>HYPERLINK("https://media.infra-m.ru/2093/2093363/cover/2093363.jpg", "Обложка")</f>
        <v>Обложка</v>
      </c>
      <c r="V75" s="27" t="str">
        <f>HYPERLINK("https://znanium.com/catalog/product/1896446", "Ознакомиться")</f>
        <v>Ознакомиться</v>
      </c>
      <c r="W75" s="8" t="s">
        <v>532</v>
      </c>
      <c r="X75" s="6"/>
      <c r="Y75" s="6"/>
      <c r="Z75" s="6" t="s">
        <v>117</v>
      </c>
      <c r="AA75" s="6" t="s">
        <v>334</v>
      </c>
    </row>
    <row r="76" spans="1:27" s="4" customFormat="1" ht="51.95" customHeight="1">
      <c r="A76" s="5">
        <v>0</v>
      </c>
      <c r="B76" s="6" t="s">
        <v>546</v>
      </c>
      <c r="C76" s="7">
        <v>1000</v>
      </c>
      <c r="D76" s="8" t="s">
        <v>547</v>
      </c>
      <c r="E76" s="8" t="s">
        <v>548</v>
      </c>
      <c r="F76" s="8" t="s">
        <v>528</v>
      </c>
      <c r="G76" s="6" t="s">
        <v>111</v>
      </c>
      <c r="H76" s="6" t="s">
        <v>38</v>
      </c>
      <c r="I76" s="8" t="s">
        <v>112</v>
      </c>
      <c r="J76" s="9">
        <v>1</v>
      </c>
      <c r="K76" s="9">
        <v>223</v>
      </c>
      <c r="L76" s="9">
        <v>2023</v>
      </c>
      <c r="M76" s="8" t="s">
        <v>549</v>
      </c>
      <c r="N76" s="8" t="s">
        <v>41</v>
      </c>
      <c r="O76" s="8" t="s">
        <v>42</v>
      </c>
      <c r="P76" s="6" t="s">
        <v>43</v>
      </c>
      <c r="Q76" s="8" t="s">
        <v>114</v>
      </c>
      <c r="R76" s="10" t="s">
        <v>536</v>
      </c>
      <c r="S76" s="11" t="s">
        <v>550</v>
      </c>
      <c r="T76" s="6"/>
      <c r="U76" s="27" t="str">
        <f>HYPERLINK("https://media.infra-m.ru/1919/1919426/cover/1919426.jpg", "Обложка")</f>
        <v>Обложка</v>
      </c>
      <c r="V76" s="27" t="str">
        <f>HYPERLINK("https://znanium.com/catalog/product/1919426", "Ознакомиться")</f>
        <v>Ознакомиться</v>
      </c>
      <c r="W76" s="8" t="s">
        <v>532</v>
      </c>
      <c r="X76" s="6"/>
      <c r="Y76" s="6"/>
      <c r="Z76" s="6" t="s">
        <v>117</v>
      </c>
      <c r="AA76" s="6" t="s">
        <v>334</v>
      </c>
    </row>
    <row r="77" spans="1:27" s="4" customFormat="1" ht="51.95" customHeight="1">
      <c r="A77" s="5">
        <v>0</v>
      </c>
      <c r="B77" s="6" t="s">
        <v>551</v>
      </c>
      <c r="C77" s="7">
        <v>1030</v>
      </c>
      <c r="D77" s="8" t="s">
        <v>552</v>
      </c>
      <c r="E77" s="8" t="s">
        <v>548</v>
      </c>
      <c r="F77" s="8" t="s">
        <v>528</v>
      </c>
      <c r="G77" s="6" t="s">
        <v>111</v>
      </c>
      <c r="H77" s="6" t="s">
        <v>38</v>
      </c>
      <c r="I77" s="8" t="s">
        <v>39</v>
      </c>
      <c r="J77" s="9">
        <v>1</v>
      </c>
      <c r="K77" s="9">
        <v>223</v>
      </c>
      <c r="L77" s="9">
        <v>2024</v>
      </c>
      <c r="M77" s="8" t="s">
        <v>553</v>
      </c>
      <c r="N77" s="8" t="s">
        <v>41</v>
      </c>
      <c r="O77" s="8" t="s">
        <v>42</v>
      </c>
      <c r="P77" s="6" t="s">
        <v>43</v>
      </c>
      <c r="Q77" s="8" t="s">
        <v>92</v>
      </c>
      <c r="R77" s="10" t="s">
        <v>554</v>
      </c>
      <c r="S77" s="11" t="s">
        <v>555</v>
      </c>
      <c r="T77" s="6"/>
      <c r="U77" s="27" t="str">
        <f>HYPERLINK("https://media.infra-m.ru/2096/2096081/cover/2096081.jpg", "Обложка")</f>
        <v>Обложка</v>
      </c>
      <c r="V77" s="27" t="str">
        <f>HYPERLINK("https://znanium.com/catalog/product/2096081", "Ознакомиться")</f>
        <v>Ознакомиться</v>
      </c>
      <c r="W77" s="8" t="s">
        <v>532</v>
      </c>
      <c r="X77" s="6"/>
      <c r="Y77" s="6"/>
      <c r="Z77" s="6"/>
      <c r="AA77" s="6" t="s">
        <v>334</v>
      </c>
    </row>
    <row r="78" spans="1:27" s="4" customFormat="1" ht="51.95" customHeight="1">
      <c r="A78" s="5">
        <v>0</v>
      </c>
      <c r="B78" s="6" t="s">
        <v>556</v>
      </c>
      <c r="C78" s="13">
        <v>710</v>
      </c>
      <c r="D78" s="8" t="s">
        <v>557</v>
      </c>
      <c r="E78" s="8" t="s">
        <v>558</v>
      </c>
      <c r="F78" s="8" t="s">
        <v>528</v>
      </c>
      <c r="G78" s="6" t="s">
        <v>111</v>
      </c>
      <c r="H78" s="6" t="s">
        <v>38</v>
      </c>
      <c r="I78" s="8" t="s">
        <v>112</v>
      </c>
      <c r="J78" s="9">
        <v>1</v>
      </c>
      <c r="K78" s="9">
        <v>158</v>
      </c>
      <c r="L78" s="9">
        <v>2023</v>
      </c>
      <c r="M78" s="8" t="s">
        <v>559</v>
      </c>
      <c r="N78" s="8" t="s">
        <v>41</v>
      </c>
      <c r="O78" s="8" t="s">
        <v>42</v>
      </c>
      <c r="P78" s="6" t="s">
        <v>43</v>
      </c>
      <c r="Q78" s="8" t="s">
        <v>114</v>
      </c>
      <c r="R78" s="10" t="s">
        <v>536</v>
      </c>
      <c r="S78" s="11" t="s">
        <v>550</v>
      </c>
      <c r="T78" s="6"/>
      <c r="U78" s="27" t="str">
        <f>HYPERLINK("https://media.infra-m.ru/2093/2093368/cover/2093368.jpg", "Обложка")</f>
        <v>Обложка</v>
      </c>
      <c r="V78" s="27" t="str">
        <f>HYPERLINK("https://znanium.com/catalog/product/1934005", "Ознакомиться")</f>
        <v>Ознакомиться</v>
      </c>
      <c r="W78" s="8" t="s">
        <v>532</v>
      </c>
      <c r="X78" s="6"/>
      <c r="Y78" s="6"/>
      <c r="Z78" s="6" t="s">
        <v>117</v>
      </c>
      <c r="AA78" s="6" t="s">
        <v>334</v>
      </c>
    </row>
    <row r="79" spans="1:27" s="4" customFormat="1" ht="51.95" customHeight="1">
      <c r="A79" s="5">
        <v>0</v>
      </c>
      <c r="B79" s="6" t="s">
        <v>560</v>
      </c>
      <c r="C79" s="13">
        <v>720</v>
      </c>
      <c r="D79" s="8" t="s">
        <v>561</v>
      </c>
      <c r="E79" s="8" t="s">
        <v>558</v>
      </c>
      <c r="F79" s="8" t="s">
        <v>528</v>
      </c>
      <c r="G79" s="6" t="s">
        <v>111</v>
      </c>
      <c r="H79" s="6" t="s">
        <v>38</v>
      </c>
      <c r="I79" s="8" t="s">
        <v>39</v>
      </c>
      <c r="J79" s="9">
        <v>1</v>
      </c>
      <c r="K79" s="9">
        <v>158</v>
      </c>
      <c r="L79" s="9">
        <v>2024</v>
      </c>
      <c r="M79" s="8" t="s">
        <v>562</v>
      </c>
      <c r="N79" s="8" t="s">
        <v>41</v>
      </c>
      <c r="O79" s="8" t="s">
        <v>42</v>
      </c>
      <c r="P79" s="6" t="s">
        <v>43</v>
      </c>
      <c r="Q79" s="8" t="s">
        <v>92</v>
      </c>
      <c r="R79" s="10" t="s">
        <v>530</v>
      </c>
      <c r="S79" s="11" t="s">
        <v>563</v>
      </c>
      <c r="T79" s="6"/>
      <c r="U79" s="27" t="str">
        <f>HYPERLINK("https://media.infra-m.ru/1912/1912982/cover/1912982.jpg", "Обложка")</f>
        <v>Обложка</v>
      </c>
      <c r="V79" s="27" t="str">
        <f>HYPERLINK("https://znanium.com/catalog/product/1912982", "Ознакомиться")</f>
        <v>Ознакомиться</v>
      </c>
      <c r="W79" s="8" t="s">
        <v>532</v>
      </c>
      <c r="X79" s="6"/>
      <c r="Y79" s="6"/>
      <c r="Z79" s="6"/>
      <c r="AA79" s="6" t="s">
        <v>334</v>
      </c>
    </row>
    <row r="80" spans="1:27" s="4" customFormat="1" ht="51.95" customHeight="1">
      <c r="A80" s="5">
        <v>0</v>
      </c>
      <c r="B80" s="6" t="s">
        <v>564</v>
      </c>
      <c r="C80" s="13">
        <v>740</v>
      </c>
      <c r="D80" s="8" t="s">
        <v>565</v>
      </c>
      <c r="E80" s="8" t="s">
        <v>541</v>
      </c>
      <c r="F80" s="8" t="s">
        <v>542</v>
      </c>
      <c r="G80" s="6" t="s">
        <v>111</v>
      </c>
      <c r="H80" s="6" t="s">
        <v>38</v>
      </c>
      <c r="I80" s="8" t="s">
        <v>101</v>
      </c>
      <c r="J80" s="9">
        <v>1</v>
      </c>
      <c r="K80" s="9">
        <v>164</v>
      </c>
      <c r="L80" s="9">
        <v>2023</v>
      </c>
      <c r="M80" s="8" t="s">
        <v>566</v>
      </c>
      <c r="N80" s="8" t="s">
        <v>41</v>
      </c>
      <c r="O80" s="8" t="s">
        <v>42</v>
      </c>
      <c r="P80" s="6" t="s">
        <v>43</v>
      </c>
      <c r="Q80" s="8" t="s">
        <v>92</v>
      </c>
      <c r="R80" s="10" t="s">
        <v>530</v>
      </c>
      <c r="S80" s="11" t="s">
        <v>567</v>
      </c>
      <c r="T80" s="6"/>
      <c r="U80" s="27" t="str">
        <f>HYPERLINK("https://media.infra-m.ru/1915/1915404/cover/1915404.jpg", "Обложка")</f>
        <v>Обложка</v>
      </c>
      <c r="V80" s="27" t="str">
        <f>HYPERLINK("https://znanium.com/catalog/product/1915404", "Ознакомиться")</f>
        <v>Ознакомиться</v>
      </c>
      <c r="W80" s="8" t="s">
        <v>532</v>
      </c>
      <c r="X80" s="6"/>
      <c r="Y80" s="6"/>
      <c r="Z80" s="6"/>
      <c r="AA80" s="6" t="s">
        <v>334</v>
      </c>
    </row>
    <row r="81" spans="1:27" s="4" customFormat="1" ht="51.95" customHeight="1">
      <c r="A81" s="5">
        <v>0</v>
      </c>
      <c r="B81" s="6" t="s">
        <v>568</v>
      </c>
      <c r="C81" s="13">
        <v>680</v>
      </c>
      <c r="D81" s="8" t="s">
        <v>569</v>
      </c>
      <c r="E81" s="8" t="s">
        <v>570</v>
      </c>
      <c r="F81" s="8" t="s">
        <v>528</v>
      </c>
      <c r="G81" s="6" t="s">
        <v>111</v>
      </c>
      <c r="H81" s="6" t="s">
        <v>38</v>
      </c>
      <c r="I81" s="8" t="s">
        <v>112</v>
      </c>
      <c r="J81" s="9">
        <v>1</v>
      </c>
      <c r="K81" s="9">
        <v>140</v>
      </c>
      <c r="L81" s="9">
        <v>2024</v>
      </c>
      <c r="M81" s="8" t="s">
        <v>571</v>
      </c>
      <c r="N81" s="8" t="s">
        <v>41</v>
      </c>
      <c r="O81" s="8" t="s">
        <v>42</v>
      </c>
      <c r="P81" s="6" t="s">
        <v>43</v>
      </c>
      <c r="Q81" s="8" t="s">
        <v>114</v>
      </c>
      <c r="R81" s="10" t="s">
        <v>544</v>
      </c>
      <c r="S81" s="11" t="s">
        <v>550</v>
      </c>
      <c r="T81" s="6"/>
      <c r="U81" s="27" t="str">
        <f>HYPERLINK("https://media.infra-m.ru/2083/2083374/cover/2083374.jpg", "Обложка")</f>
        <v>Обложка</v>
      </c>
      <c r="V81" s="27" t="str">
        <f>HYPERLINK("https://znanium.com/catalog/product/2083374", "Ознакомиться")</f>
        <v>Ознакомиться</v>
      </c>
      <c r="W81" s="8" t="s">
        <v>532</v>
      </c>
      <c r="X81" s="6"/>
      <c r="Y81" s="6"/>
      <c r="Z81" s="6" t="s">
        <v>117</v>
      </c>
      <c r="AA81" s="6" t="s">
        <v>334</v>
      </c>
    </row>
    <row r="82" spans="1:27" s="4" customFormat="1" ht="51.95" customHeight="1">
      <c r="A82" s="5">
        <v>0</v>
      </c>
      <c r="B82" s="6" t="s">
        <v>572</v>
      </c>
      <c r="C82" s="13">
        <v>650</v>
      </c>
      <c r="D82" s="8" t="s">
        <v>573</v>
      </c>
      <c r="E82" s="8" t="s">
        <v>570</v>
      </c>
      <c r="F82" s="8" t="s">
        <v>528</v>
      </c>
      <c r="G82" s="6" t="s">
        <v>53</v>
      </c>
      <c r="H82" s="6" t="s">
        <v>38</v>
      </c>
      <c r="I82" s="8" t="s">
        <v>101</v>
      </c>
      <c r="J82" s="9">
        <v>1</v>
      </c>
      <c r="K82" s="9">
        <v>140</v>
      </c>
      <c r="L82" s="9">
        <v>2023</v>
      </c>
      <c r="M82" s="8" t="s">
        <v>574</v>
      </c>
      <c r="N82" s="8" t="s">
        <v>41</v>
      </c>
      <c r="O82" s="8" t="s">
        <v>42</v>
      </c>
      <c r="P82" s="6" t="s">
        <v>43</v>
      </c>
      <c r="Q82" s="8" t="s">
        <v>92</v>
      </c>
      <c r="R82" s="10" t="s">
        <v>530</v>
      </c>
      <c r="S82" s="11" t="s">
        <v>531</v>
      </c>
      <c r="T82" s="6"/>
      <c r="U82" s="27" t="str">
        <f>HYPERLINK("https://media.infra-m.ru/1911/1911069/cover/1911069.jpg", "Обложка")</f>
        <v>Обложка</v>
      </c>
      <c r="V82" s="27" t="str">
        <f>HYPERLINK("https://znanium.com/catalog/product/1911069", "Ознакомиться")</f>
        <v>Ознакомиться</v>
      </c>
      <c r="W82" s="8" t="s">
        <v>532</v>
      </c>
      <c r="X82" s="6"/>
      <c r="Y82" s="6"/>
      <c r="Z82" s="6"/>
      <c r="AA82" s="6" t="s">
        <v>334</v>
      </c>
    </row>
    <row r="83" spans="1:27" s="4" customFormat="1" ht="42" customHeight="1">
      <c r="A83" s="5">
        <v>0</v>
      </c>
      <c r="B83" s="6" t="s">
        <v>575</v>
      </c>
      <c r="C83" s="13">
        <v>650</v>
      </c>
      <c r="D83" s="8" t="s">
        <v>576</v>
      </c>
      <c r="E83" s="8" t="s">
        <v>577</v>
      </c>
      <c r="F83" s="8" t="s">
        <v>578</v>
      </c>
      <c r="G83" s="6" t="s">
        <v>53</v>
      </c>
      <c r="H83" s="6" t="s">
        <v>38</v>
      </c>
      <c r="I83" s="8" t="s">
        <v>579</v>
      </c>
      <c r="J83" s="9">
        <v>1</v>
      </c>
      <c r="K83" s="9">
        <v>144</v>
      </c>
      <c r="L83" s="9">
        <v>2023</v>
      </c>
      <c r="M83" s="8" t="s">
        <v>580</v>
      </c>
      <c r="N83" s="8" t="s">
        <v>41</v>
      </c>
      <c r="O83" s="8" t="s">
        <v>42</v>
      </c>
      <c r="P83" s="6" t="s">
        <v>75</v>
      </c>
      <c r="Q83" s="8" t="s">
        <v>76</v>
      </c>
      <c r="R83" s="10" t="s">
        <v>77</v>
      </c>
      <c r="S83" s="11"/>
      <c r="T83" s="6"/>
      <c r="U83" s="27" t="str">
        <f>HYPERLINK("https://media.infra-m.ru/1976/1976137/cover/1976137.jpg", "Обложка")</f>
        <v>Обложка</v>
      </c>
      <c r="V83" s="27" t="str">
        <f>HYPERLINK("https://znanium.com/catalog/product/1976137", "Ознакомиться")</f>
        <v>Ознакомиться</v>
      </c>
      <c r="W83" s="8" t="s">
        <v>46</v>
      </c>
      <c r="X83" s="6"/>
      <c r="Y83" s="6"/>
      <c r="Z83" s="6"/>
      <c r="AA83" s="6" t="s">
        <v>86</v>
      </c>
    </row>
    <row r="84" spans="1:27" s="4" customFormat="1" ht="42" customHeight="1">
      <c r="A84" s="5">
        <v>0</v>
      </c>
      <c r="B84" s="6" t="s">
        <v>581</v>
      </c>
      <c r="C84" s="7">
        <v>1110</v>
      </c>
      <c r="D84" s="8" t="s">
        <v>582</v>
      </c>
      <c r="E84" s="8" t="s">
        <v>583</v>
      </c>
      <c r="F84" s="8" t="s">
        <v>584</v>
      </c>
      <c r="G84" s="6" t="s">
        <v>111</v>
      </c>
      <c r="H84" s="6" t="s">
        <v>38</v>
      </c>
      <c r="I84" s="8" t="s">
        <v>73</v>
      </c>
      <c r="J84" s="9">
        <v>1</v>
      </c>
      <c r="K84" s="9">
        <v>187</v>
      </c>
      <c r="L84" s="9">
        <v>2023</v>
      </c>
      <c r="M84" s="8" t="s">
        <v>585</v>
      </c>
      <c r="N84" s="8" t="s">
        <v>41</v>
      </c>
      <c r="O84" s="8" t="s">
        <v>42</v>
      </c>
      <c r="P84" s="6" t="s">
        <v>75</v>
      </c>
      <c r="Q84" s="8" t="s">
        <v>76</v>
      </c>
      <c r="R84" s="10" t="s">
        <v>325</v>
      </c>
      <c r="S84" s="11"/>
      <c r="T84" s="6"/>
      <c r="U84" s="27" t="str">
        <f>HYPERLINK("https://media.infra-m.ru/1913/1913522/cover/1913522.jpg", "Обложка")</f>
        <v>Обложка</v>
      </c>
      <c r="V84" s="27" t="str">
        <f>HYPERLINK("https://znanium.com/catalog/product/1873828", "Ознакомиться")</f>
        <v>Ознакомиться</v>
      </c>
      <c r="W84" s="8" t="s">
        <v>142</v>
      </c>
      <c r="X84" s="6"/>
      <c r="Y84" s="6"/>
      <c r="Z84" s="6"/>
      <c r="AA84" s="6" t="s">
        <v>48</v>
      </c>
    </row>
    <row r="85" spans="1:27" s="4" customFormat="1" ht="51.95" customHeight="1">
      <c r="A85" s="5">
        <v>0</v>
      </c>
      <c r="B85" s="6" t="s">
        <v>586</v>
      </c>
      <c r="C85" s="7">
        <v>1990</v>
      </c>
      <c r="D85" s="8" t="s">
        <v>587</v>
      </c>
      <c r="E85" s="8" t="s">
        <v>588</v>
      </c>
      <c r="F85" s="8" t="s">
        <v>589</v>
      </c>
      <c r="G85" s="6" t="s">
        <v>111</v>
      </c>
      <c r="H85" s="6" t="s">
        <v>286</v>
      </c>
      <c r="I85" s="8" t="s">
        <v>590</v>
      </c>
      <c r="J85" s="9">
        <v>1</v>
      </c>
      <c r="K85" s="9">
        <v>400</v>
      </c>
      <c r="L85" s="9">
        <v>2022</v>
      </c>
      <c r="M85" s="8" t="s">
        <v>591</v>
      </c>
      <c r="N85" s="8" t="s">
        <v>41</v>
      </c>
      <c r="O85" s="8" t="s">
        <v>42</v>
      </c>
      <c r="P85" s="6" t="s">
        <v>43</v>
      </c>
      <c r="Q85" s="8" t="s">
        <v>114</v>
      </c>
      <c r="R85" s="10" t="s">
        <v>115</v>
      </c>
      <c r="S85" s="11" t="s">
        <v>592</v>
      </c>
      <c r="T85" s="6"/>
      <c r="U85" s="27" t="str">
        <f>HYPERLINK("https://media.infra-m.ru/1855/1855511/cover/1855511.jpg", "Обложка")</f>
        <v>Обложка</v>
      </c>
      <c r="V85" s="27" t="str">
        <f>HYPERLINK("https://znanium.com/catalog/product/1855511", "Ознакомиться")</f>
        <v>Ознакомиться</v>
      </c>
      <c r="W85" s="8" t="s">
        <v>85</v>
      </c>
      <c r="X85" s="6"/>
      <c r="Y85" s="6"/>
      <c r="Z85" s="6"/>
      <c r="AA85" s="6" t="s">
        <v>221</v>
      </c>
    </row>
    <row r="86" spans="1:27" s="4" customFormat="1" ht="42" customHeight="1">
      <c r="A86" s="5">
        <v>0</v>
      </c>
      <c r="B86" s="6" t="s">
        <v>593</v>
      </c>
      <c r="C86" s="7">
        <v>1274.9000000000001</v>
      </c>
      <c r="D86" s="8" t="s">
        <v>594</v>
      </c>
      <c r="E86" s="8" t="s">
        <v>595</v>
      </c>
      <c r="F86" s="8" t="s">
        <v>596</v>
      </c>
      <c r="G86" s="6" t="s">
        <v>37</v>
      </c>
      <c r="H86" s="6" t="s">
        <v>38</v>
      </c>
      <c r="I86" s="8" t="s">
        <v>39</v>
      </c>
      <c r="J86" s="9">
        <v>1</v>
      </c>
      <c r="K86" s="9">
        <v>284</v>
      </c>
      <c r="L86" s="9">
        <v>2023</v>
      </c>
      <c r="M86" s="8" t="s">
        <v>597</v>
      </c>
      <c r="N86" s="8" t="s">
        <v>41</v>
      </c>
      <c r="O86" s="8" t="s">
        <v>42</v>
      </c>
      <c r="P86" s="6" t="s">
        <v>43</v>
      </c>
      <c r="Q86" s="8" t="s">
        <v>92</v>
      </c>
      <c r="R86" s="10" t="s">
        <v>77</v>
      </c>
      <c r="S86" s="11"/>
      <c r="T86" s="6"/>
      <c r="U86" s="27" t="str">
        <f>HYPERLINK("https://media.infra-m.ru/1911/1911750/cover/1911750.jpg", "Обложка")</f>
        <v>Обложка</v>
      </c>
      <c r="V86" s="27" t="str">
        <f>HYPERLINK("https://znanium.com/catalog/product/1030729", "Ознакомиться")</f>
        <v>Ознакомиться</v>
      </c>
      <c r="W86" s="8" t="s">
        <v>598</v>
      </c>
      <c r="X86" s="6"/>
      <c r="Y86" s="6"/>
      <c r="Z86" s="6"/>
      <c r="AA86" s="6" t="s">
        <v>96</v>
      </c>
    </row>
    <row r="87" spans="1:27" s="4" customFormat="1" ht="51.95" customHeight="1">
      <c r="A87" s="5">
        <v>0</v>
      </c>
      <c r="B87" s="6" t="s">
        <v>599</v>
      </c>
      <c r="C87" s="13">
        <v>610</v>
      </c>
      <c r="D87" s="8" t="s">
        <v>600</v>
      </c>
      <c r="E87" s="8" t="s">
        <v>601</v>
      </c>
      <c r="F87" s="8" t="s">
        <v>602</v>
      </c>
      <c r="G87" s="6" t="s">
        <v>53</v>
      </c>
      <c r="H87" s="6" t="s">
        <v>38</v>
      </c>
      <c r="I87" s="8" t="s">
        <v>156</v>
      </c>
      <c r="J87" s="9">
        <v>1</v>
      </c>
      <c r="K87" s="9">
        <v>110</v>
      </c>
      <c r="L87" s="9">
        <v>2023</v>
      </c>
      <c r="M87" s="8" t="s">
        <v>603</v>
      </c>
      <c r="N87" s="8" t="s">
        <v>41</v>
      </c>
      <c r="O87" s="8" t="s">
        <v>42</v>
      </c>
      <c r="P87" s="6" t="s">
        <v>43</v>
      </c>
      <c r="Q87" s="8" t="s">
        <v>123</v>
      </c>
      <c r="R87" s="10" t="s">
        <v>604</v>
      </c>
      <c r="S87" s="11" t="s">
        <v>605</v>
      </c>
      <c r="T87" s="6" t="s">
        <v>235</v>
      </c>
      <c r="U87" s="27" t="str">
        <f>HYPERLINK("https://media.infra-m.ru/2122/2122939/cover/2122939.jpg", "Обложка")</f>
        <v>Обложка</v>
      </c>
      <c r="V87" s="27" t="str">
        <f>HYPERLINK("https://znanium.com/catalog/product/1926395", "Ознакомиться")</f>
        <v>Ознакомиться</v>
      </c>
      <c r="W87" s="8" t="s">
        <v>142</v>
      </c>
      <c r="X87" s="6"/>
      <c r="Y87" s="6"/>
      <c r="Z87" s="6"/>
      <c r="AA87" s="6" t="s">
        <v>606</v>
      </c>
    </row>
    <row r="88" spans="1:27" s="4" customFormat="1" ht="51.95" customHeight="1">
      <c r="A88" s="5">
        <v>0</v>
      </c>
      <c r="B88" s="6" t="s">
        <v>607</v>
      </c>
      <c r="C88" s="13">
        <v>570</v>
      </c>
      <c r="D88" s="8" t="s">
        <v>608</v>
      </c>
      <c r="E88" s="8" t="s">
        <v>609</v>
      </c>
      <c r="F88" s="8" t="s">
        <v>610</v>
      </c>
      <c r="G88" s="6" t="s">
        <v>53</v>
      </c>
      <c r="H88" s="6" t="s">
        <v>286</v>
      </c>
      <c r="I88" s="8" t="s">
        <v>39</v>
      </c>
      <c r="J88" s="9">
        <v>1</v>
      </c>
      <c r="K88" s="9">
        <v>103</v>
      </c>
      <c r="L88" s="9">
        <v>2022</v>
      </c>
      <c r="M88" s="8" t="s">
        <v>611</v>
      </c>
      <c r="N88" s="8" t="s">
        <v>41</v>
      </c>
      <c r="O88" s="8" t="s">
        <v>42</v>
      </c>
      <c r="P88" s="6" t="s">
        <v>43</v>
      </c>
      <c r="Q88" s="8" t="s">
        <v>44</v>
      </c>
      <c r="R88" s="10" t="s">
        <v>604</v>
      </c>
      <c r="S88" s="11" t="s">
        <v>605</v>
      </c>
      <c r="T88" s="6" t="s">
        <v>235</v>
      </c>
      <c r="U88" s="27" t="str">
        <f>HYPERLINK("https://media.infra-m.ru/1841/1841028/cover/1841028.jpg", "Обложка")</f>
        <v>Обложка</v>
      </c>
      <c r="V88" s="27" t="str">
        <f>HYPERLINK("https://znanium.com/catalog/product/1926395", "Ознакомиться")</f>
        <v>Ознакомиться</v>
      </c>
      <c r="W88" s="8" t="s">
        <v>142</v>
      </c>
      <c r="X88" s="6"/>
      <c r="Y88" s="6"/>
      <c r="Z88" s="6"/>
      <c r="AA88" s="6" t="s">
        <v>451</v>
      </c>
    </row>
    <row r="89" spans="1:27" s="4" customFormat="1" ht="51.95" customHeight="1">
      <c r="A89" s="5">
        <v>0</v>
      </c>
      <c r="B89" s="6" t="s">
        <v>612</v>
      </c>
      <c r="C89" s="7">
        <v>1130</v>
      </c>
      <c r="D89" s="8" t="s">
        <v>613</v>
      </c>
      <c r="E89" s="8" t="s">
        <v>614</v>
      </c>
      <c r="F89" s="8" t="s">
        <v>615</v>
      </c>
      <c r="G89" s="6" t="s">
        <v>53</v>
      </c>
      <c r="H89" s="6" t="s">
        <v>38</v>
      </c>
      <c r="I89" s="8" t="s">
        <v>73</v>
      </c>
      <c r="J89" s="9">
        <v>1</v>
      </c>
      <c r="K89" s="9">
        <v>193</v>
      </c>
      <c r="L89" s="9">
        <v>2023</v>
      </c>
      <c r="M89" s="8" t="s">
        <v>616</v>
      </c>
      <c r="N89" s="8" t="s">
        <v>41</v>
      </c>
      <c r="O89" s="8" t="s">
        <v>42</v>
      </c>
      <c r="P89" s="6" t="s">
        <v>75</v>
      </c>
      <c r="Q89" s="8" t="s">
        <v>76</v>
      </c>
      <c r="R89" s="10" t="s">
        <v>617</v>
      </c>
      <c r="S89" s="11"/>
      <c r="T89" s="6"/>
      <c r="U89" s="27" t="str">
        <f>HYPERLINK("https://media.infra-m.ru/1959/1959243/cover/1959243.jpg", "Обложка")</f>
        <v>Обложка</v>
      </c>
      <c r="V89" s="27" t="str">
        <f>HYPERLINK("https://znanium.com/catalog/product/1959243", "Ознакомиться")</f>
        <v>Ознакомиться</v>
      </c>
      <c r="W89" s="8" t="s">
        <v>618</v>
      </c>
      <c r="X89" s="6" t="s">
        <v>619</v>
      </c>
      <c r="Y89" s="6"/>
      <c r="Z89" s="6"/>
      <c r="AA89" s="6" t="s">
        <v>48</v>
      </c>
    </row>
    <row r="90" spans="1:27" s="4" customFormat="1" ht="51.95" customHeight="1">
      <c r="A90" s="5">
        <v>0</v>
      </c>
      <c r="B90" s="6" t="s">
        <v>620</v>
      </c>
      <c r="C90" s="7">
        <v>1150</v>
      </c>
      <c r="D90" s="8" t="s">
        <v>621</v>
      </c>
      <c r="E90" s="8" t="s">
        <v>622</v>
      </c>
      <c r="F90" s="8" t="s">
        <v>623</v>
      </c>
      <c r="G90" s="6" t="s">
        <v>53</v>
      </c>
      <c r="H90" s="6" t="s">
        <v>38</v>
      </c>
      <c r="I90" s="8" t="s">
        <v>54</v>
      </c>
      <c r="J90" s="9">
        <v>1</v>
      </c>
      <c r="K90" s="9">
        <v>248</v>
      </c>
      <c r="L90" s="9">
        <v>2023</v>
      </c>
      <c r="M90" s="8" t="s">
        <v>624</v>
      </c>
      <c r="N90" s="8" t="s">
        <v>41</v>
      </c>
      <c r="O90" s="8" t="s">
        <v>42</v>
      </c>
      <c r="P90" s="6" t="s">
        <v>56</v>
      </c>
      <c r="Q90" s="8" t="s">
        <v>76</v>
      </c>
      <c r="R90" s="10" t="s">
        <v>625</v>
      </c>
      <c r="S90" s="11"/>
      <c r="T90" s="6"/>
      <c r="U90" s="27" t="str">
        <f>HYPERLINK("https://media.infra-m.ru/1911/1911071/cover/1911071.jpg", "Обложка")</f>
        <v>Обложка</v>
      </c>
      <c r="V90" s="27" t="str">
        <f>HYPERLINK("https://znanium.com/catalog/product/1911071", "Ознакомиться")</f>
        <v>Ознакомиться</v>
      </c>
      <c r="W90" s="8" t="s">
        <v>626</v>
      </c>
      <c r="X90" s="6"/>
      <c r="Y90" s="6"/>
      <c r="Z90" s="6"/>
      <c r="AA90" s="6" t="s">
        <v>221</v>
      </c>
    </row>
    <row r="91" spans="1:27" s="4" customFormat="1" ht="44.1" customHeight="1">
      <c r="A91" s="5">
        <v>0</v>
      </c>
      <c r="B91" s="6" t="s">
        <v>627</v>
      </c>
      <c r="C91" s="7">
        <v>1290</v>
      </c>
      <c r="D91" s="8" t="s">
        <v>628</v>
      </c>
      <c r="E91" s="8" t="s">
        <v>629</v>
      </c>
      <c r="F91" s="8" t="s">
        <v>630</v>
      </c>
      <c r="G91" s="6" t="s">
        <v>53</v>
      </c>
      <c r="H91" s="6" t="s">
        <v>38</v>
      </c>
      <c r="I91" s="8" t="s">
        <v>73</v>
      </c>
      <c r="J91" s="9">
        <v>1</v>
      </c>
      <c r="K91" s="9">
        <v>276</v>
      </c>
      <c r="L91" s="9">
        <v>2022</v>
      </c>
      <c r="M91" s="8" t="s">
        <v>631</v>
      </c>
      <c r="N91" s="8" t="s">
        <v>41</v>
      </c>
      <c r="O91" s="8" t="s">
        <v>42</v>
      </c>
      <c r="P91" s="6" t="s">
        <v>75</v>
      </c>
      <c r="Q91" s="8" t="s">
        <v>76</v>
      </c>
      <c r="R91" s="10" t="s">
        <v>632</v>
      </c>
      <c r="S91" s="11"/>
      <c r="T91" s="6"/>
      <c r="U91" s="27" t="str">
        <f>HYPERLINK("https://media.infra-m.ru/1863/1863100/cover/1863100.jpg", "Обложка")</f>
        <v>Обложка</v>
      </c>
      <c r="V91" s="27" t="str">
        <f>HYPERLINK("https://znanium.com/catalog/product/1863100", "Ознакомиться")</f>
        <v>Ознакомиться</v>
      </c>
      <c r="W91" s="8" t="s">
        <v>633</v>
      </c>
      <c r="X91" s="6"/>
      <c r="Y91" s="6"/>
      <c r="Z91" s="6"/>
      <c r="AA91" s="6" t="s">
        <v>151</v>
      </c>
    </row>
    <row r="92" spans="1:27" s="4" customFormat="1" ht="51.95" customHeight="1">
      <c r="A92" s="5">
        <v>0</v>
      </c>
      <c r="B92" s="6" t="s">
        <v>634</v>
      </c>
      <c r="C92" s="7">
        <v>1290</v>
      </c>
      <c r="D92" s="8" t="s">
        <v>635</v>
      </c>
      <c r="E92" s="8" t="s">
        <v>636</v>
      </c>
      <c r="F92" s="8" t="s">
        <v>637</v>
      </c>
      <c r="G92" s="6" t="s">
        <v>111</v>
      </c>
      <c r="H92" s="6" t="s">
        <v>38</v>
      </c>
      <c r="I92" s="8" t="s">
        <v>101</v>
      </c>
      <c r="J92" s="9">
        <v>1</v>
      </c>
      <c r="K92" s="9">
        <v>357</v>
      </c>
      <c r="L92" s="9">
        <v>2021</v>
      </c>
      <c r="M92" s="8" t="s">
        <v>638</v>
      </c>
      <c r="N92" s="8" t="s">
        <v>41</v>
      </c>
      <c r="O92" s="8" t="s">
        <v>42</v>
      </c>
      <c r="P92" s="6" t="s">
        <v>103</v>
      </c>
      <c r="Q92" s="8" t="s">
        <v>92</v>
      </c>
      <c r="R92" s="10" t="s">
        <v>639</v>
      </c>
      <c r="S92" s="11" t="s">
        <v>640</v>
      </c>
      <c r="T92" s="6"/>
      <c r="U92" s="27" t="str">
        <f>HYPERLINK("https://media.infra-m.ru/1254/1254670/cover/1254670.jpg", "Обложка")</f>
        <v>Обложка</v>
      </c>
      <c r="V92" s="27" t="str">
        <f>HYPERLINK("https://znanium.com/catalog/product/1439619", "Ознакомиться")</f>
        <v>Ознакомиться</v>
      </c>
      <c r="W92" s="8" t="s">
        <v>641</v>
      </c>
      <c r="X92" s="6"/>
      <c r="Y92" s="6"/>
      <c r="Z92" s="6"/>
      <c r="AA92" s="6" t="s">
        <v>273</v>
      </c>
    </row>
    <row r="93" spans="1:27" s="4" customFormat="1" ht="51.95" customHeight="1">
      <c r="A93" s="5">
        <v>0</v>
      </c>
      <c r="B93" s="6" t="s">
        <v>642</v>
      </c>
      <c r="C93" s="7">
        <v>1290</v>
      </c>
      <c r="D93" s="8" t="s">
        <v>643</v>
      </c>
      <c r="E93" s="8" t="s">
        <v>636</v>
      </c>
      <c r="F93" s="8" t="s">
        <v>637</v>
      </c>
      <c r="G93" s="6" t="s">
        <v>37</v>
      </c>
      <c r="H93" s="6" t="s">
        <v>38</v>
      </c>
      <c r="I93" s="8" t="s">
        <v>112</v>
      </c>
      <c r="J93" s="9">
        <v>1</v>
      </c>
      <c r="K93" s="9">
        <v>357</v>
      </c>
      <c r="L93" s="9">
        <v>2021</v>
      </c>
      <c r="M93" s="8" t="s">
        <v>644</v>
      </c>
      <c r="N93" s="8" t="s">
        <v>41</v>
      </c>
      <c r="O93" s="8" t="s">
        <v>42</v>
      </c>
      <c r="P93" s="6" t="s">
        <v>103</v>
      </c>
      <c r="Q93" s="8" t="s">
        <v>114</v>
      </c>
      <c r="R93" s="10" t="s">
        <v>639</v>
      </c>
      <c r="S93" s="11" t="s">
        <v>640</v>
      </c>
      <c r="T93" s="6"/>
      <c r="U93" s="27" t="str">
        <f>HYPERLINK("https://media.infra-m.ru/1149/1149111/cover/1149111.jpg", "Обложка")</f>
        <v>Обложка</v>
      </c>
      <c r="V93" s="27" t="str">
        <f>HYPERLINK("https://znanium.com/catalog/product/1149111", "Ознакомиться")</f>
        <v>Ознакомиться</v>
      </c>
      <c r="W93" s="8" t="s">
        <v>641</v>
      </c>
      <c r="X93" s="6"/>
      <c r="Y93" s="6"/>
      <c r="Z93" s="6" t="s">
        <v>117</v>
      </c>
      <c r="AA93" s="6" t="s">
        <v>334</v>
      </c>
    </row>
    <row r="94" spans="1:27" s="4" customFormat="1" ht="51.95" customHeight="1">
      <c r="A94" s="5">
        <v>0</v>
      </c>
      <c r="B94" s="6" t="s">
        <v>645</v>
      </c>
      <c r="C94" s="7">
        <v>1680</v>
      </c>
      <c r="D94" s="8" t="s">
        <v>646</v>
      </c>
      <c r="E94" s="8" t="s">
        <v>647</v>
      </c>
      <c r="F94" s="8" t="s">
        <v>648</v>
      </c>
      <c r="G94" s="6" t="s">
        <v>111</v>
      </c>
      <c r="H94" s="6" t="s">
        <v>38</v>
      </c>
      <c r="I94" s="8" t="s">
        <v>39</v>
      </c>
      <c r="J94" s="9">
        <v>1</v>
      </c>
      <c r="K94" s="9">
        <v>365</v>
      </c>
      <c r="L94" s="9">
        <v>2024</v>
      </c>
      <c r="M94" s="8" t="s">
        <v>649</v>
      </c>
      <c r="N94" s="8" t="s">
        <v>41</v>
      </c>
      <c r="O94" s="8" t="s">
        <v>42</v>
      </c>
      <c r="P94" s="6" t="s">
        <v>103</v>
      </c>
      <c r="Q94" s="8" t="s">
        <v>92</v>
      </c>
      <c r="R94" s="10" t="s">
        <v>650</v>
      </c>
      <c r="S94" s="11" t="s">
        <v>651</v>
      </c>
      <c r="T94" s="6" t="s">
        <v>235</v>
      </c>
      <c r="U94" s="27" t="str">
        <f>HYPERLINK("https://media.infra-m.ru/2069/2069329/cover/2069329.jpg", "Обложка")</f>
        <v>Обложка</v>
      </c>
      <c r="V94" s="27" t="str">
        <f>HYPERLINK("https://znanium.com/catalog/product/2069329", "Ознакомиться")</f>
        <v>Ознакомиться</v>
      </c>
      <c r="W94" s="8" t="s">
        <v>641</v>
      </c>
      <c r="X94" s="6"/>
      <c r="Y94" s="6"/>
      <c r="Z94" s="6"/>
      <c r="AA94" s="6" t="s">
        <v>86</v>
      </c>
    </row>
    <row r="95" spans="1:27" s="4" customFormat="1" ht="51.95" customHeight="1">
      <c r="A95" s="5">
        <v>0</v>
      </c>
      <c r="B95" s="6" t="s">
        <v>652</v>
      </c>
      <c r="C95" s="7">
        <v>1260</v>
      </c>
      <c r="D95" s="8" t="s">
        <v>653</v>
      </c>
      <c r="E95" s="8" t="s">
        <v>654</v>
      </c>
      <c r="F95" s="8" t="s">
        <v>655</v>
      </c>
      <c r="G95" s="6" t="s">
        <v>37</v>
      </c>
      <c r="H95" s="6" t="s">
        <v>38</v>
      </c>
      <c r="I95" s="8" t="s">
        <v>101</v>
      </c>
      <c r="J95" s="9">
        <v>1</v>
      </c>
      <c r="K95" s="9">
        <v>338</v>
      </c>
      <c r="L95" s="9">
        <v>2021</v>
      </c>
      <c r="M95" s="8" t="s">
        <v>656</v>
      </c>
      <c r="N95" s="8" t="s">
        <v>41</v>
      </c>
      <c r="O95" s="8" t="s">
        <v>42</v>
      </c>
      <c r="P95" s="6" t="s">
        <v>43</v>
      </c>
      <c r="Q95" s="8" t="s">
        <v>92</v>
      </c>
      <c r="R95" s="10" t="s">
        <v>657</v>
      </c>
      <c r="S95" s="11" t="s">
        <v>658</v>
      </c>
      <c r="T95" s="6"/>
      <c r="U95" s="27" t="str">
        <f>HYPERLINK("https://media.infra-m.ru/1072/1072201/cover/1072201.jpg", "Обложка")</f>
        <v>Обложка</v>
      </c>
      <c r="V95" s="27" t="str">
        <f>HYPERLINK("https://znanium.com/catalog/product/1072201", "Ознакомиться")</f>
        <v>Ознакомиться</v>
      </c>
      <c r="W95" s="8" t="s">
        <v>659</v>
      </c>
      <c r="X95" s="6"/>
      <c r="Y95" s="6"/>
      <c r="Z95" s="6"/>
      <c r="AA95" s="6" t="s">
        <v>334</v>
      </c>
    </row>
    <row r="96" spans="1:27" s="4" customFormat="1" ht="51.95" customHeight="1">
      <c r="A96" s="5">
        <v>0</v>
      </c>
      <c r="B96" s="6" t="s">
        <v>660</v>
      </c>
      <c r="C96" s="7">
        <v>1850</v>
      </c>
      <c r="D96" s="8" t="s">
        <v>661</v>
      </c>
      <c r="E96" s="8" t="s">
        <v>654</v>
      </c>
      <c r="F96" s="8" t="s">
        <v>662</v>
      </c>
      <c r="G96" s="6" t="s">
        <v>37</v>
      </c>
      <c r="H96" s="6" t="s">
        <v>38</v>
      </c>
      <c r="I96" s="8" t="s">
        <v>156</v>
      </c>
      <c r="J96" s="9">
        <v>1</v>
      </c>
      <c r="K96" s="9">
        <v>411</v>
      </c>
      <c r="L96" s="9">
        <v>2023</v>
      </c>
      <c r="M96" s="8" t="s">
        <v>663</v>
      </c>
      <c r="N96" s="8" t="s">
        <v>41</v>
      </c>
      <c r="O96" s="8" t="s">
        <v>42</v>
      </c>
      <c r="P96" s="6" t="s">
        <v>43</v>
      </c>
      <c r="Q96" s="8" t="s">
        <v>123</v>
      </c>
      <c r="R96" s="10" t="s">
        <v>664</v>
      </c>
      <c r="S96" s="11" t="s">
        <v>665</v>
      </c>
      <c r="T96" s="6"/>
      <c r="U96" s="27" t="str">
        <f>HYPERLINK("https://media.infra-m.ru/1897/1897677/cover/1897677.jpg", "Обложка")</f>
        <v>Обложка</v>
      </c>
      <c r="V96" s="27" t="str">
        <f>HYPERLINK("https://znanium.com/catalog/product/1897677", "Ознакомиться")</f>
        <v>Ознакомиться</v>
      </c>
      <c r="W96" s="8" t="s">
        <v>666</v>
      </c>
      <c r="X96" s="6"/>
      <c r="Y96" s="6"/>
      <c r="Z96" s="6"/>
      <c r="AA96" s="6" t="s">
        <v>273</v>
      </c>
    </row>
    <row r="97" spans="1:27" s="4" customFormat="1" ht="51.95" customHeight="1">
      <c r="A97" s="5">
        <v>0</v>
      </c>
      <c r="B97" s="6" t="s">
        <v>667</v>
      </c>
      <c r="C97" s="7">
        <v>2690</v>
      </c>
      <c r="D97" s="8" t="s">
        <v>668</v>
      </c>
      <c r="E97" s="8" t="s">
        <v>669</v>
      </c>
      <c r="F97" s="8" t="s">
        <v>670</v>
      </c>
      <c r="G97" s="6" t="s">
        <v>37</v>
      </c>
      <c r="H97" s="6" t="s">
        <v>38</v>
      </c>
      <c r="I97" s="8" t="s">
        <v>671</v>
      </c>
      <c r="J97" s="9">
        <v>1</v>
      </c>
      <c r="K97" s="9">
        <v>607</v>
      </c>
      <c r="L97" s="9">
        <v>2022</v>
      </c>
      <c r="M97" s="8" t="s">
        <v>672</v>
      </c>
      <c r="N97" s="8" t="s">
        <v>41</v>
      </c>
      <c r="O97" s="8" t="s">
        <v>42</v>
      </c>
      <c r="P97" s="6" t="s">
        <v>673</v>
      </c>
      <c r="Q97" s="8" t="s">
        <v>76</v>
      </c>
      <c r="R97" s="10" t="s">
        <v>674</v>
      </c>
      <c r="S97" s="11"/>
      <c r="T97" s="6"/>
      <c r="U97" s="27" t="str">
        <f>HYPERLINK("https://media.infra-m.ru/1858/1858586/cover/1858586.jpg", "Обложка")</f>
        <v>Обложка</v>
      </c>
      <c r="V97" s="27" t="str">
        <f>HYPERLINK("https://znanium.com/catalog/product/1858586", "Ознакомиться")</f>
        <v>Ознакомиться</v>
      </c>
      <c r="W97" s="8" t="s">
        <v>675</v>
      </c>
      <c r="X97" s="6"/>
      <c r="Y97" s="6"/>
      <c r="Z97" s="6"/>
      <c r="AA97" s="6" t="s">
        <v>676</v>
      </c>
    </row>
    <row r="98" spans="1:27" s="4" customFormat="1" ht="51.95" customHeight="1">
      <c r="A98" s="5">
        <v>0</v>
      </c>
      <c r="B98" s="6" t="s">
        <v>677</v>
      </c>
      <c r="C98" s="7">
        <v>2094.9</v>
      </c>
      <c r="D98" s="8" t="s">
        <v>678</v>
      </c>
      <c r="E98" s="8" t="s">
        <v>679</v>
      </c>
      <c r="F98" s="8" t="s">
        <v>680</v>
      </c>
      <c r="G98" s="6" t="s">
        <v>37</v>
      </c>
      <c r="H98" s="6" t="s">
        <v>286</v>
      </c>
      <c r="I98" s="8" t="s">
        <v>39</v>
      </c>
      <c r="J98" s="9">
        <v>1</v>
      </c>
      <c r="K98" s="9">
        <v>608</v>
      </c>
      <c r="L98" s="9">
        <v>2020</v>
      </c>
      <c r="M98" s="8" t="s">
        <v>681</v>
      </c>
      <c r="N98" s="8" t="s">
        <v>41</v>
      </c>
      <c r="O98" s="8" t="s">
        <v>42</v>
      </c>
      <c r="P98" s="6" t="s">
        <v>463</v>
      </c>
      <c r="Q98" s="8" t="s">
        <v>76</v>
      </c>
      <c r="R98" s="10" t="s">
        <v>674</v>
      </c>
      <c r="S98" s="11"/>
      <c r="T98" s="6"/>
      <c r="U98" s="27" t="str">
        <f>HYPERLINK("https://media.infra-m.ru/1052/1052196/cover/1052196.jpg", "Обложка")</f>
        <v>Обложка</v>
      </c>
      <c r="V98" s="27" t="str">
        <f>HYPERLINK("https://znanium.com/catalog/product/1858586", "Ознакомиться")</f>
        <v>Ознакомиться</v>
      </c>
      <c r="W98" s="8" t="s">
        <v>675</v>
      </c>
      <c r="X98" s="6"/>
      <c r="Y98" s="6"/>
      <c r="Z98" s="6"/>
      <c r="AA98" s="6" t="s">
        <v>107</v>
      </c>
    </row>
    <row r="99" spans="1:27" s="4" customFormat="1" ht="51.95" customHeight="1">
      <c r="A99" s="5">
        <v>0</v>
      </c>
      <c r="B99" s="6" t="s">
        <v>682</v>
      </c>
      <c r="C99" s="7">
        <v>1504.9</v>
      </c>
      <c r="D99" s="8" t="s">
        <v>683</v>
      </c>
      <c r="E99" s="8" t="s">
        <v>684</v>
      </c>
      <c r="F99" s="8" t="s">
        <v>685</v>
      </c>
      <c r="G99" s="6" t="s">
        <v>37</v>
      </c>
      <c r="H99" s="6" t="s">
        <v>38</v>
      </c>
      <c r="I99" s="8" t="s">
        <v>101</v>
      </c>
      <c r="J99" s="9">
        <v>1</v>
      </c>
      <c r="K99" s="9">
        <v>334</v>
      </c>
      <c r="L99" s="9">
        <v>2023</v>
      </c>
      <c r="M99" s="8" t="s">
        <v>686</v>
      </c>
      <c r="N99" s="8" t="s">
        <v>41</v>
      </c>
      <c r="O99" s="8" t="s">
        <v>42</v>
      </c>
      <c r="P99" s="6" t="s">
        <v>43</v>
      </c>
      <c r="Q99" s="8" t="s">
        <v>92</v>
      </c>
      <c r="R99" s="10" t="s">
        <v>687</v>
      </c>
      <c r="S99" s="11" t="s">
        <v>311</v>
      </c>
      <c r="T99" s="6"/>
      <c r="U99" s="27" t="str">
        <f>HYPERLINK("https://media.infra-m.ru/1911/1911062/cover/1911062.jpg", "Обложка")</f>
        <v>Обложка</v>
      </c>
      <c r="V99" s="27" t="str">
        <f>HYPERLINK("https://znanium.com/catalog/product/1462722", "Ознакомиться")</f>
        <v>Ознакомиться</v>
      </c>
      <c r="W99" s="8" t="s">
        <v>312</v>
      </c>
      <c r="X99" s="6"/>
      <c r="Y99" s="6"/>
      <c r="Z99" s="6"/>
      <c r="AA99" s="6" t="s">
        <v>96</v>
      </c>
    </row>
    <row r="100" spans="1:27" s="4" customFormat="1" ht="44.1" customHeight="1">
      <c r="A100" s="5">
        <v>0</v>
      </c>
      <c r="B100" s="6" t="s">
        <v>688</v>
      </c>
      <c r="C100" s="13">
        <v>954.9</v>
      </c>
      <c r="D100" s="8" t="s">
        <v>689</v>
      </c>
      <c r="E100" s="8" t="s">
        <v>690</v>
      </c>
      <c r="F100" s="8" t="s">
        <v>691</v>
      </c>
      <c r="G100" s="6" t="s">
        <v>53</v>
      </c>
      <c r="H100" s="6" t="s">
        <v>38</v>
      </c>
      <c r="I100" s="8" t="s">
        <v>73</v>
      </c>
      <c r="J100" s="9">
        <v>1</v>
      </c>
      <c r="K100" s="9">
        <v>213</v>
      </c>
      <c r="L100" s="9">
        <v>2022</v>
      </c>
      <c r="M100" s="8" t="s">
        <v>692</v>
      </c>
      <c r="N100" s="8" t="s">
        <v>41</v>
      </c>
      <c r="O100" s="8" t="s">
        <v>42</v>
      </c>
      <c r="P100" s="6" t="s">
        <v>75</v>
      </c>
      <c r="Q100" s="8" t="s">
        <v>76</v>
      </c>
      <c r="R100" s="10" t="s">
        <v>693</v>
      </c>
      <c r="S100" s="11"/>
      <c r="T100" s="6"/>
      <c r="U100" s="27" t="str">
        <f>HYPERLINK("https://media.infra-m.ru/1907/1907885/cover/1907885.jpg", "Обложка")</f>
        <v>Обложка</v>
      </c>
      <c r="V100" s="27" t="str">
        <f>HYPERLINK("https://znanium.com/catalog/product/1873042", "Ознакомиться")</f>
        <v>Ознакомиться</v>
      </c>
      <c r="W100" s="8" t="s">
        <v>46</v>
      </c>
      <c r="X100" s="6"/>
      <c r="Y100" s="6"/>
      <c r="Z100" s="6"/>
      <c r="AA100" s="6" t="s">
        <v>151</v>
      </c>
    </row>
    <row r="101" spans="1:27" s="4" customFormat="1" ht="51.95" customHeight="1">
      <c r="A101" s="5">
        <v>0</v>
      </c>
      <c r="B101" s="6" t="s">
        <v>694</v>
      </c>
      <c r="C101" s="7">
        <v>1600</v>
      </c>
      <c r="D101" s="8" t="s">
        <v>695</v>
      </c>
      <c r="E101" s="8" t="s">
        <v>696</v>
      </c>
      <c r="F101" s="8" t="s">
        <v>697</v>
      </c>
      <c r="G101" s="6" t="s">
        <v>111</v>
      </c>
      <c r="H101" s="6" t="s">
        <v>38</v>
      </c>
      <c r="I101" s="8" t="s">
        <v>156</v>
      </c>
      <c r="J101" s="9">
        <v>1</v>
      </c>
      <c r="K101" s="9">
        <v>342</v>
      </c>
      <c r="L101" s="9">
        <v>2023</v>
      </c>
      <c r="M101" s="8" t="s">
        <v>698</v>
      </c>
      <c r="N101" s="8" t="s">
        <v>41</v>
      </c>
      <c r="O101" s="8" t="s">
        <v>42</v>
      </c>
      <c r="P101" s="6" t="s">
        <v>43</v>
      </c>
      <c r="Q101" s="8" t="s">
        <v>123</v>
      </c>
      <c r="R101" s="10" t="s">
        <v>229</v>
      </c>
      <c r="S101" s="11" t="s">
        <v>699</v>
      </c>
      <c r="T101" s="6"/>
      <c r="U101" s="27" t="str">
        <f>HYPERLINK("https://media.infra-m.ru/1898/1898603/cover/1898603.jpg", "Обложка")</f>
        <v>Обложка</v>
      </c>
      <c r="V101" s="27" t="str">
        <f>HYPERLINK("https://znanium.com/catalog/product/1898603", "Ознакомиться")</f>
        <v>Ознакомиться</v>
      </c>
      <c r="W101" s="8" t="s">
        <v>700</v>
      </c>
      <c r="X101" s="6"/>
      <c r="Y101" s="6"/>
      <c r="Z101" s="6"/>
      <c r="AA101" s="6" t="s">
        <v>151</v>
      </c>
    </row>
    <row r="102" spans="1:27" s="4" customFormat="1" ht="51.95" customHeight="1">
      <c r="A102" s="5">
        <v>0</v>
      </c>
      <c r="B102" s="6" t="s">
        <v>701</v>
      </c>
      <c r="C102" s="7">
        <v>1370</v>
      </c>
      <c r="D102" s="8" t="s">
        <v>702</v>
      </c>
      <c r="E102" s="8" t="s">
        <v>703</v>
      </c>
      <c r="F102" s="8" t="s">
        <v>637</v>
      </c>
      <c r="G102" s="6" t="s">
        <v>111</v>
      </c>
      <c r="H102" s="6" t="s">
        <v>38</v>
      </c>
      <c r="I102" s="8" t="s">
        <v>156</v>
      </c>
      <c r="J102" s="9">
        <v>1</v>
      </c>
      <c r="K102" s="9">
        <v>298</v>
      </c>
      <c r="L102" s="9">
        <v>2024</v>
      </c>
      <c r="M102" s="8" t="s">
        <v>704</v>
      </c>
      <c r="N102" s="8" t="s">
        <v>41</v>
      </c>
      <c r="O102" s="8" t="s">
        <v>42</v>
      </c>
      <c r="P102" s="6" t="s">
        <v>103</v>
      </c>
      <c r="Q102" s="8" t="s">
        <v>123</v>
      </c>
      <c r="R102" s="10" t="s">
        <v>705</v>
      </c>
      <c r="S102" s="11" t="s">
        <v>651</v>
      </c>
      <c r="T102" s="6"/>
      <c r="U102" s="27" t="str">
        <f>HYPERLINK("https://media.infra-m.ru/2085/2085113/cover/2085113.jpg", "Обложка")</f>
        <v>Обложка</v>
      </c>
      <c r="V102" s="27" t="str">
        <f>HYPERLINK("https://znanium.com/catalog/product/2085113", "Ознакомиться")</f>
        <v>Ознакомиться</v>
      </c>
      <c r="W102" s="8" t="s">
        <v>641</v>
      </c>
      <c r="X102" s="6"/>
      <c r="Y102" s="6"/>
      <c r="Z102" s="6"/>
      <c r="AA102" s="6" t="s">
        <v>86</v>
      </c>
    </row>
    <row r="103" spans="1:27" s="4" customFormat="1" ht="42" customHeight="1">
      <c r="A103" s="5">
        <v>0</v>
      </c>
      <c r="B103" s="6" t="s">
        <v>706</v>
      </c>
      <c r="C103" s="7">
        <v>1110</v>
      </c>
      <c r="D103" s="8" t="s">
        <v>707</v>
      </c>
      <c r="E103" s="8" t="s">
        <v>708</v>
      </c>
      <c r="F103" s="8" t="s">
        <v>709</v>
      </c>
      <c r="G103" s="6" t="s">
        <v>37</v>
      </c>
      <c r="H103" s="6" t="s">
        <v>38</v>
      </c>
      <c r="I103" s="8" t="s">
        <v>39</v>
      </c>
      <c r="J103" s="9">
        <v>1</v>
      </c>
      <c r="K103" s="9">
        <v>231</v>
      </c>
      <c r="L103" s="9">
        <v>2023</v>
      </c>
      <c r="M103" s="8" t="s">
        <v>710</v>
      </c>
      <c r="N103" s="8" t="s">
        <v>41</v>
      </c>
      <c r="O103" s="8" t="s">
        <v>42</v>
      </c>
      <c r="P103" s="6" t="s">
        <v>103</v>
      </c>
      <c r="Q103" s="8" t="s">
        <v>92</v>
      </c>
      <c r="R103" s="10" t="s">
        <v>711</v>
      </c>
      <c r="S103" s="11"/>
      <c r="T103" s="6"/>
      <c r="U103" s="27" t="str">
        <f>HYPERLINK("https://media.infra-m.ru/1927/1927294/cover/1927294.jpg", "Обложка")</f>
        <v>Обложка</v>
      </c>
      <c r="V103" s="27" t="str">
        <f>HYPERLINK("https://znanium.com/catalog/product/1927294", "Ознакомиться")</f>
        <v>Ознакомиться</v>
      </c>
      <c r="W103" s="8" t="s">
        <v>712</v>
      </c>
      <c r="X103" s="6" t="s">
        <v>713</v>
      </c>
      <c r="Y103" s="6"/>
      <c r="Z103" s="6"/>
      <c r="AA103" s="6" t="s">
        <v>48</v>
      </c>
    </row>
    <row r="104" spans="1:27" s="4" customFormat="1" ht="51.95" customHeight="1">
      <c r="A104" s="5">
        <v>0</v>
      </c>
      <c r="B104" s="6" t="s">
        <v>714</v>
      </c>
      <c r="C104" s="13">
        <v>794.9</v>
      </c>
      <c r="D104" s="8" t="s">
        <v>715</v>
      </c>
      <c r="E104" s="8" t="s">
        <v>708</v>
      </c>
      <c r="F104" s="8" t="s">
        <v>716</v>
      </c>
      <c r="G104" s="6" t="s">
        <v>53</v>
      </c>
      <c r="H104" s="6" t="s">
        <v>38</v>
      </c>
      <c r="I104" s="8" t="s">
        <v>39</v>
      </c>
      <c r="J104" s="9">
        <v>1</v>
      </c>
      <c r="K104" s="9">
        <v>176</v>
      </c>
      <c r="L104" s="9">
        <v>2023</v>
      </c>
      <c r="M104" s="8" t="s">
        <v>717</v>
      </c>
      <c r="N104" s="8" t="s">
        <v>41</v>
      </c>
      <c r="O104" s="8" t="s">
        <v>42</v>
      </c>
      <c r="P104" s="6" t="s">
        <v>43</v>
      </c>
      <c r="Q104" s="8" t="s">
        <v>57</v>
      </c>
      <c r="R104" s="10" t="s">
        <v>718</v>
      </c>
      <c r="S104" s="11" t="s">
        <v>719</v>
      </c>
      <c r="T104" s="6"/>
      <c r="U104" s="27" t="str">
        <f>HYPERLINK("https://media.infra-m.ru/2019/2019749/cover/2019749.jpg", "Обложка")</f>
        <v>Обложка</v>
      </c>
      <c r="V104" s="27" t="str">
        <f>HYPERLINK("https://znanium.com/catalog/product/1844427", "Ознакомиться")</f>
        <v>Ознакомиться</v>
      </c>
      <c r="W104" s="8" t="s">
        <v>720</v>
      </c>
      <c r="X104" s="6"/>
      <c r="Y104" s="6"/>
      <c r="Z104" s="6"/>
      <c r="AA104" s="6" t="s">
        <v>221</v>
      </c>
    </row>
    <row r="105" spans="1:27" s="4" customFormat="1" ht="51.95" customHeight="1">
      <c r="A105" s="5">
        <v>0</v>
      </c>
      <c r="B105" s="6" t="s">
        <v>721</v>
      </c>
      <c r="C105" s="7">
        <v>2344.9</v>
      </c>
      <c r="D105" s="8" t="s">
        <v>722</v>
      </c>
      <c r="E105" s="8" t="s">
        <v>723</v>
      </c>
      <c r="F105" s="8" t="s">
        <v>724</v>
      </c>
      <c r="G105" s="6" t="s">
        <v>111</v>
      </c>
      <c r="H105" s="6" t="s">
        <v>38</v>
      </c>
      <c r="I105" s="8" t="s">
        <v>156</v>
      </c>
      <c r="J105" s="9">
        <v>1</v>
      </c>
      <c r="K105" s="9">
        <v>218</v>
      </c>
      <c r="L105" s="9">
        <v>2023</v>
      </c>
      <c r="M105" s="8" t="s">
        <v>725</v>
      </c>
      <c r="N105" s="8" t="s">
        <v>41</v>
      </c>
      <c r="O105" s="8" t="s">
        <v>42</v>
      </c>
      <c r="P105" s="6" t="s">
        <v>43</v>
      </c>
      <c r="Q105" s="8" t="s">
        <v>123</v>
      </c>
      <c r="R105" s="10" t="s">
        <v>664</v>
      </c>
      <c r="S105" s="11" t="s">
        <v>726</v>
      </c>
      <c r="T105" s="6"/>
      <c r="U105" s="27" t="str">
        <f>HYPERLINK("https://media.infra-m.ru/1912/1912409/cover/1912409.jpg", "Обложка")</f>
        <v>Обложка</v>
      </c>
      <c r="V105" s="27" t="str">
        <f>HYPERLINK("https://znanium.com/catalog/product/2125009", "Ознакомиться")</f>
        <v>Ознакомиться</v>
      </c>
      <c r="W105" s="8" t="s">
        <v>298</v>
      </c>
      <c r="X105" s="6"/>
      <c r="Y105" s="6"/>
      <c r="Z105" s="6"/>
      <c r="AA105" s="6" t="s">
        <v>86</v>
      </c>
    </row>
    <row r="106" spans="1:27" s="4" customFormat="1" ht="51.95" customHeight="1">
      <c r="A106" s="5">
        <v>0</v>
      </c>
      <c r="B106" s="6" t="s">
        <v>727</v>
      </c>
      <c r="C106" s="7">
        <v>1430</v>
      </c>
      <c r="D106" s="8" t="s">
        <v>728</v>
      </c>
      <c r="E106" s="8" t="s">
        <v>729</v>
      </c>
      <c r="F106" s="8" t="s">
        <v>447</v>
      </c>
      <c r="G106" s="6" t="s">
        <v>53</v>
      </c>
      <c r="H106" s="6" t="s">
        <v>38</v>
      </c>
      <c r="I106" s="8" t="s">
        <v>73</v>
      </c>
      <c r="J106" s="9">
        <v>1</v>
      </c>
      <c r="K106" s="9">
        <v>310</v>
      </c>
      <c r="L106" s="9">
        <v>2024</v>
      </c>
      <c r="M106" s="8" t="s">
        <v>730</v>
      </c>
      <c r="N106" s="8" t="s">
        <v>41</v>
      </c>
      <c r="O106" s="8" t="s">
        <v>42</v>
      </c>
      <c r="P106" s="6" t="s">
        <v>75</v>
      </c>
      <c r="Q106" s="8" t="s">
        <v>76</v>
      </c>
      <c r="R106" s="10" t="s">
        <v>77</v>
      </c>
      <c r="S106" s="11"/>
      <c r="T106" s="6"/>
      <c r="U106" s="27" t="str">
        <f>HYPERLINK("https://media.infra-m.ru/2113/2113871/cover/2113871.jpg", "Обложка")</f>
        <v>Обложка</v>
      </c>
      <c r="V106" s="27" t="str">
        <f>HYPERLINK("https://znanium.com/catalog/product/2113871", "Ознакомиться")</f>
        <v>Ознакомиться</v>
      </c>
      <c r="W106" s="8" t="s">
        <v>371</v>
      </c>
      <c r="X106" s="6"/>
      <c r="Y106" s="6"/>
      <c r="Z106" s="6"/>
      <c r="AA106" s="6" t="s">
        <v>451</v>
      </c>
    </row>
    <row r="107" spans="1:27" s="4" customFormat="1" ht="42" customHeight="1">
      <c r="A107" s="5">
        <v>0</v>
      </c>
      <c r="B107" s="6" t="s">
        <v>731</v>
      </c>
      <c r="C107" s="13">
        <v>550</v>
      </c>
      <c r="D107" s="8" t="s">
        <v>732</v>
      </c>
      <c r="E107" s="8" t="s">
        <v>733</v>
      </c>
      <c r="F107" s="8" t="s">
        <v>734</v>
      </c>
      <c r="G107" s="6" t="s">
        <v>53</v>
      </c>
      <c r="H107" s="6" t="s">
        <v>38</v>
      </c>
      <c r="I107" s="8" t="s">
        <v>54</v>
      </c>
      <c r="J107" s="9">
        <v>1</v>
      </c>
      <c r="K107" s="9">
        <v>107</v>
      </c>
      <c r="L107" s="9">
        <v>2024</v>
      </c>
      <c r="M107" s="8" t="s">
        <v>735</v>
      </c>
      <c r="N107" s="8" t="s">
        <v>41</v>
      </c>
      <c r="O107" s="8" t="s">
        <v>42</v>
      </c>
      <c r="P107" s="6" t="s">
        <v>75</v>
      </c>
      <c r="Q107" s="8" t="s">
        <v>76</v>
      </c>
      <c r="R107" s="10" t="s">
        <v>77</v>
      </c>
      <c r="S107" s="11"/>
      <c r="T107" s="6"/>
      <c r="U107" s="27" t="str">
        <f>HYPERLINK("https://media.infra-m.ru/2052/2052397/cover/2052397.jpg", "Обложка")</f>
        <v>Обложка</v>
      </c>
      <c r="V107" s="27" t="str">
        <f>HYPERLINK("https://znanium.com/catalog/product/2052397", "Ознакомиться")</f>
        <v>Ознакомиться</v>
      </c>
      <c r="W107" s="8" t="s">
        <v>298</v>
      </c>
      <c r="X107" s="6"/>
      <c r="Y107" s="6"/>
      <c r="Z107" s="6"/>
      <c r="AA107" s="6" t="s">
        <v>60</v>
      </c>
    </row>
    <row r="108" spans="1:27" s="4" customFormat="1" ht="51.95" customHeight="1">
      <c r="A108" s="5">
        <v>0</v>
      </c>
      <c r="B108" s="6" t="s">
        <v>736</v>
      </c>
      <c r="C108" s="13">
        <v>724</v>
      </c>
      <c r="D108" s="8" t="s">
        <v>737</v>
      </c>
      <c r="E108" s="8" t="s">
        <v>738</v>
      </c>
      <c r="F108" s="8" t="s">
        <v>739</v>
      </c>
      <c r="G108" s="6" t="s">
        <v>37</v>
      </c>
      <c r="H108" s="6" t="s">
        <v>38</v>
      </c>
      <c r="I108" s="8" t="s">
        <v>156</v>
      </c>
      <c r="J108" s="9">
        <v>1</v>
      </c>
      <c r="K108" s="9">
        <v>125</v>
      </c>
      <c r="L108" s="9">
        <v>2023</v>
      </c>
      <c r="M108" s="8" t="s">
        <v>740</v>
      </c>
      <c r="N108" s="8" t="s">
        <v>41</v>
      </c>
      <c r="O108" s="8" t="s">
        <v>42</v>
      </c>
      <c r="P108" s="6" t="s">
        <v>43</v>
      </c>
      <c r="Q108" s="8" t="s">
        <v>123</v>
      </c>
      <c r="R108" s="10" t="s">
        <v>604</v>
      </c>
      <c r="S108" s="11" t="s">
        <v>741</v>
      </c>
      <c r="T108" s="6" t="s">
        <v>235</v>
      </c>
      <c r="U108" s="27" t="str">
        <f>HYPERLINK("https://media.infra-m.ru/2021/2021462/cover/2021462.jpg", "Обложка")</f>
        <v>Обложка</v>
      </c>
      <c r="V108" s="27" t="str">
        <f>HYPERLINK("https://znanium.com/catalog/product/1002295", "Ознакомиться")</f>
        <v>Ознакомиться</v>
      </c>
      <c r="W108" s="8" t="s">
        <v>742</v>
      </c>
      <c r="X108" s="6"/>
      <c r="Y108" s="6"/>
      <c r="Z108" s="6"/>
      <c r="AA108" s="6" t="s">
        <v>273</v>
      </c>
    </row>
    <row r="109" spans="1:27" s="4" customFormat="1" ht="51.95" customHeight="1">
      <c r="A109" s="5">
        <v>0</v>
      </c>
      <c r="B109" s="6" t="s">
        <v>743</v>
      </c>
      <c r="C109" s="13">
        <v>730</v>
      </c>
      <c r="D109" s="8" t="s">
        <v>744</v>
      </c>
      <c r="E109" s="8" t="s">
        <v>745</v>
      </c>
      <c r="F109" s="8" t="s">
        <v>121</v>
      </c>
      <c r="G109" s="6" t="s">
        <v>53</v>
      </c>
      <c r="H109" s="6" t="s">
        <v>38</v>
      </c>
      <c r="I109" s="8" t="s">
        <v>39</v>
      </c>
      <c r="J109" s="9">
        <v>1</v>
      </c>
      <c r="K109" s="9">
        <v>158</v>
      </c>
      <c r="L109" s="9">
        <v>2023</v>
      </c>
      <c r="M109" s="8" t="s">
        <v>746</v>
      </c>
      <c r="N109" s="8" t="s">
        <v>41</v>
      </c>
      <c r="O109" s="8" t="s">
        <v>42</v>
      </c>
      <c r="P109" s="6" t="s">
        <v>43</v>
      </c>
      <c r="Q109" s="8" t="s">
        <v>44</v>
      </c>
      <c r="R109" s="10" t="s">
        <v>747</v>
      </c>
      <c r="S109" s="11" t="s">
        <v>748</v>
      </c>
      <c r="T109" s="6"/>
      <c r="U109" s="27" t="str">
        <f>HYPERLINK("https://media.infra-m.ru/1863/1863044/cover/1863044.jpg", "Обложка")</f>
        <v>Обложка</v>
      </c>
      <c r="V109" s="27" t="str">
        <f>HYPERLINK("https://znanium.com/catalog/product/1863044", "Ознакомиться")</f>
        <v>Ознакомиться</v>
      </c>
      <c r="W109" s="8" t="s">
        <v>126</v>
      </c>
      <c r="X109" s="6"/>
      <c r="Y109" s="6"/>
      <c r="Z109" s="6"/>
      <c r="AA109" s="6" t="s">
        <v>60</v>
      </c>
    </row>
    <row r="110" spans="1:27" s="4" customFormat="1" ht="51.95" customHeight="1">
      <c r="A110" s="5">
        <v>0</v>
      </c>
      <c r="B110" s="6" t="s">
        <v>749</v>
      </c>
      <c r="C110" s="13">
        <v>450</v>
      </c>
      <c r="D110" s="8" t="s">
        <v>750</v>
      </c>
      <c r="E110" s="8" t="s">
        <v>751</v>
      </c>
      <c r="F110" s="8" t="s">
        <v>752</v>
      </c>
      <c r="G110" s="6" t="s">
        <v>53</v>
      </c>
      <c r="H110" s="6" t="s">
        <v>226</v>
      </c>
      <c r="I110" s="8" t="s">
        <v>39</v>
      </c>
      <c r="J110" s="9">
        <v>1</v>
      </c>
      <c r="K110" s="9">
        <v>64</v>
      </c>
      <c r="L110" s="9">
        <v>2024</v>
      </c>
      <c r="M110" s="8" t="s">
        <v>753</v>
      </c>
      <c r="N110" s="8" t="s">
        <v>41</v>
      </c>
      <c r="O110" s="8" t="s">
        <v>42</v>
      </c>
      <c r="P110" s="6" t="s">
        <v>43</v>
      </c>
      <c r="Q110" s="8" t="s">
        <v>92</v>
      </c>
      <c r="R110" s="10" t="s">
        <v>754</v>
      </c>
      <c r="S110" s="11" t="s">
        <v>755</v>
      </c>
      <c r="T110" s="6"/>
      <c r="U110" s="27" t="str">
        <f>HYPERLINK("https://media.infra-m.ru/2083/2083338/cover/2083338.jpg", "Обложка")</f>
        <v>Обложка</v>
      </c>
      <c r="V110" s="27" t="str">
        <f>HYPERLINK("https://znanium.com/catalog/product/2083338", "Ознакомиться")</f>
        <v>Ознакомиться</v>
      </c>
      <c r="W110" s="8" t="s">
        <v>298</v>
      </c>
      <c r="X110" s="6"/>
      <c r="Y110" s="6"/>
      <c r="Z110" s="6"/>
      <c r="AA110" s="6" t="s">
        <v>319</v>
      </c>
    </row>
    <row r="111" spans="1:27" s="4" customFormat="1" ht="51.95" customHeight="1">
      <c r="A111" s="5">
        <v>0</v>
      </c>
      <c r="B111" s="6" t="s">
        <v>756</v>
      </c>
      <c r="C111" s="13">
        <v>740</v>
      </c>
      <c r="D111" s="8" t="s">
        <v>757</v>
      </c>
      <c r="E111" s="8" t="s">
        <v>758</v>
      </c>
      <c r="F111" s="8" t="s">
        <v>759</v>
      </c>
      <c r="G111" s="6" t="s">
        <v>111</v>
      </c>
      <c r="H111" s="6" t="s">
        <v>38</v>
      </c>
      <c r="I111" s="8" t="s">
        <v>156</v>
      </c>
      <c r="J111" s="9">
        <v>1</v>
      </c>
      <c r="K111" s="9">
        <v>163</v>
      </c>
      <c r="L111" s="9">
        <v>2023</v>
      </c>
      <c r="M111" s="8" t="s">
        <v>760</v>
      </c>
      <c r="N111" s="8" t="s">
        <v>41</v>
      </c>
      <c r="O111" s="8" t="s">
        <v>42</v>
      </c>
      <c r="P111" s="6" t="s">
        <v>43</v>
      </c>
      <c r="Q111" s="8" t="s">
        <v>123</v>
      </c>
      <c r="R111" s="10" t="s">
        <v>761</v>
      </c>
      <c r="S111" s="11" t="s">
        <v>762</v>
      </c>
      <c r="T111" s="6"/>
      <c r="U111" s="27" t="str">
        <f>HYPERLINK("https://media.infra-m.ru/2059/2059572/cover/2059572.jpg", "Обложка")</f>
        <v>Обложка</v>
      </c>
      <c r="V111" s="27" t="str">
        <f>HYPERLINK("https://znanium.com/catalog/product/2059572", "Ознакомиться")</f>
        <v>Ознакомиться</v>
      </c>
      <c r="W111" s="8" t="s">
        <v>763</v>
      </c>
      <c r="X111" s="6"/>
      <c r="Y111" s="6"/>
      <c r="Z111" s="6"/>
      <c r="AA111" s="6" t="s">
        <v>764</v>
      </c>
    </row>
    <row r="112" spans="1:27" s="4" customFormat="1" ht="51.95" customHeight="1">
      <c r="A112" s="5">
        <v>0</v>
      </c>
      <c r="B112" s="6" t="s">
        <v>765</v>
      </c>
      <c r="C112" s="7">
        <v>2494</v>
      </c>
      <c r="D112" s="8" t="s">
        <v>766</v>
      </c>
      <c r="E112" s="8" t="s">
        <v>767</v>
      </c>
      <c r="F112" s="8" t="s">
        <v>768</v>
      </c>
      <c r="G112" s="6" t="s">
        <v>37</v>
      </c>
      <c r="H112" s="6" t="s">
        <v>38</v>
      </c>
      <c r="I112" s="8" t="s">
        <v>156</v>
      </c>
      <c r="J112" s="9">
        <v>1</v>
      </c>
      <c r="K112" s="9">
        <v>539</v>
      </c>
      <c r="L112" s="9">
        <v>2024</v>
      </c>
      <c r="M112" s="8" t="s">
        <v>769</v>
      </c>
      <c r="N112" s="8" t="s">
        <v>41</v>
      </c>
      <c r="O112" s="8" t="s">
        <v>42</v>
      </c>
      <c r="P112" s="6" t="s">
        <v>43</v>
      </c>
      <c r="Q112" s="8" t="s">
        <v>123</v>
      </c>
      <c r="R112" s="10" t="s">
        <v>770</v>
      </c>
      <c r="S112" s="11" t="s">
        <v>771</v>
      </c>
      <c r="T112" s="6"/>
      <c r="U112" s="27" t="str">
        <f>HYPERLINK("https://media.infra-m.ru/2118/2118164/cover/2118164.jpg", "Обложка")</f>
        <v>Обложка</v>
      </c>
      <c r="V112" s="27" t="str">
        <f>HYPERLINK("https://znanium.com/catalog/product/1894201", "Ознакомиться")</f>
        <v>Ознакомиться</v>
      </c>
      <c r="W112" s="8" t="s">
        <v>772</v>
      </c>
      <c r="X112" s="6"/>
      <c r="Y112" s="6"/>
      <c r="Z112" s="6"/>
      <c r="AA112" s="6" t="s">
        <v>334</v>
      </c>
    </row>
    <row r="113" spans="1:27" s="4" customFormat="1" ht="42" customHeight="1">
      <c r="A113" s="5">
        <v>0</v>
      </c>
      <c r="B113" s="6" t="s">
        <v>773</v>
      </c>
      <c r="C113" s="13">
        <v>840</v>
      </c>
      <c r="D113" s="8" t="s">
        <v>774</v>
      </c>
      <c r="E113" s="8" t="s">
        <v>775</v>
      </c>
      <c r="F113" s="8" t="s">
        <v>776</v>
      </c>
      <c r="G113" s="6" t="s">
        <v>53</v>
      </c>
      <c r="H113" s="6" t="s">
        <v>38</v>
      </c>
      <c r="I113" s="8" t="s">
        <v>579</v>
      </c>
      <c r="J113" s="9">
        <v>1</v>
      </c>
      <c r="K113" s="9">
        <v>182</v>
      </c>
      <c r="L113" s="9">
        <v>2024</v>
      </c>
      <c r="M113" s="8" t="s">
        <v>777</v>
      </c>
      <c r="N113" s="8" t="s">
        <v>41</v>
      </c>
      <c r="O113" s="8" t="s">
        <v>42</v>
      </c>
      <c r="P113" s="6" t="s">
        <v>75</v>
      </c>
      <c r="Q113" s="8" t="s">
        <v>76</v>
      </c>
      <c r="R113" s="10" t="s">
        <v>778</v>
      </c>
      <c r="S113" s="11"/>
      <c r="T113" s="6" t="s">
        <v>235</v>
      </c>
      <c r="U113" s="27" t="str">
        <f>HYPERLINK("https://media.infra-m.ru/2118/2118173/cover/2118173.jpg", "Обложка")</f>
        <v>Обложка</v>
      </c>
      <c r="V113" s="27" t="str">
        <f>HYPERLINK("https://znanium.com/catalog/product/2118173", "Ознакомиться")</f>
        <v>Ознакомиться</v>
      </c>
      <c r="W113" s="8" t="s">
        <v>46</v>
      </c>
      <c r="X113" s="6"/>
      <c r="Y113" s="6"/>
      <c r="Z113" s="6"/>
      <c r="AA113" s="6" t="s">
        <v>86</v>
      </c>
    </row>
    <row r="114" spans="1:27" s="4" customFormat="1" ht="51.95" customHeight="1">
      <c r="A114" s="5">
        <v>0</v>
      </c>
      <c r="B114" s="6" t="s">
        <v>779</v>
      </c>
      <c r="C114" s="13">
        <v>830</v>
      </c>
      <c r="D114" s="8" t="s">
        <v>780</v>
      </c>
      <c r="E114" s="8" t="s">
        <v>781</v>
      </c>
      <c r="F114" s="8" t="s">
        <v>782</v>
      </c>
      <c r="G114" s="6" t="s">
        <v>111</v>
      </c>
      <c r="H114" s="6" t="s">
        <v>38</v>
      </c>
      <c r="I114" s="8" t="s">
        <v>278</v>
      </c>
      <c r="J114" s="9">
        <v>1</v>
      </c>
      <c r="K114" s="9">
        <v>172</v>
      </c>
      <c r="L114" s="9">
        <v>2023</v>
      </c>
      <c r="M114" s="8" t="s">
        <v>783</v>
      </c>
      <c r="N114" s="8" t="s">
        <v>41</v>
      </c>
      <c r="O114" s="8" t="s">
        <v>42</v>
      </c>
      <c r="P114" s="6" t="s">
        <v>43</v>
      </c>
      <c r="Q114" s="8" t="s">
        <v>123</v>
      </c>
      <c r="R114" s="10" t="s">
        <v>784</v>
      </c>
      <c r="S114" s="11" t="s">
        <v>785</v>
      </c>
      <c r="T114" s="6"/>
      <c r="U114" s="27" t="str">
        <f>HYPERLINK("https://media.infra-m.ru/1905/1905625/cover/1905625.jpg", "Обложка")</f>
        <v>Обложка</v>
      </c>
      <c r="V114" s="27" t="str">
        <f>HYPERLINK("https://znanium.com/catalog/product/1905625", "Ознакомиться")</f>
        <v>Ознакомиться</v>
      </c>
      <c r="W114" s="8" t="s">
        <v>85</v>
      </c>
      <c r="X114" s="6"/>
      <c r="Y114" s="6"/>
      <c r="Z114" s="6"/>
      <c r="AA114" s="6" t="s">
        <v>786</v>
      </c>
    </row>
    <row r="115" spans="1:27" s="4" customFormat="1" ht="51.95" customHeight="1">
      <c r="A115" s="5">
        <v>0</v>
      </c>
      <c r="B115" s="6" t="s">
        <v>787</v>
      </c>
      <c r="C115" s="13">
        <v>770</v>
      </c>
      <c r="D115" s="8" t="s">
        <v>788</v>
      </c>
      <c r="E115" s="8" t="s">
        <v>789</v>
      </c>
      <c r="F115" s="8" t="s">
        <v>790</v>
      </c>
      <c r="G115" s="6" t="s">
        <v>111</v>
      </c>
      <c r="H115" s="6" t="s">
        <v>38</v>
      </c>
      <c r="I115" s="8" t="s">
        <v>156</v>
      </c>
      <c r="J115" s="9">
        <v>1</v>
      </c>
      <c r="K115" s="9">
        <v>160</v>
      </c>
      <c r="L115" s="9">
        <v>2024</v>
      </c>
      <c r="M115" s="8" t="s">
        <v>791</v>
      </c>
      <c r="N115" s="8" t="s">
        <v>41</v>
      </c>
      <c r="O115" s="8" t="s">
        <v>42</v>
      </c>
      <c r="P115" s="6" t="s">
        <v>43</v>
      </c>
      <c r="Q115" s="8" t="s">
        <v>123</v>
      </c>
      <c r="R115" s="10" t="s">
        <v>115</v>
      </c>
      <c r="S115" s="11" t="s">
        <v>792</v>
      </c>
      <c r="T115" s="6"/>
      <c r="U115" s="27" t="str">
        <f>HYPERLINK("https://media.infra-m.ru/2081/2081091/cover/2081091.jpg", "Обложка")</f>
        <v>Обложка</v>
      </c>
      <c r="V115" s="27" t="str">
        <f>HYPERLINK("https://znanium.com/catalog/product/2081091", "Ознакомиться")</f>
        <v>Ознакомиться</v>
      </c>
      <c r="W115" s="8" t="s">
        <v>85</v>
      </c>
      <c r="X115" s="6"/>
      <c r="Y115" s="6"/>
      <c r="Z115" s="6"/>
      <c r="AA115" s="6" t="s">
        <v>86</v>
      </c>
    </row>
    <row r="116" spans="1:27" s="4" customFormat="1" ht="51.95" customHeight="1">
      <c r="A116" s="5">
        <v>0</v>
      </c>
      <c r="B116" s="6" t="s">
        <v>793</v>
      </c>
      <c r="C116" s="13">
        <v>620</v>
      </c>
      <c r="D116" s="8" t="s">
        <v>794</v>
      </c>
      <c r="E116" s="8" t="s">
        <v>795</v>
      </c>
      <c r="F116" s="8" t="s">
        <v>796</v>
      </c>
      <c r="G116" s="6" t="s">
        <v>53</v>
      </c>
      <c r="H116" s="6" t="s">
        <v>38</v>
      </c>
      <c r="I116" s="8" t="s">
        <v>156</v>
      </c>
      <c r="J116" s="9">
        <v>1</v>
      </c>
      <c r="K116" s="9">
        <v>137</v>
      </c>
      <c r="L116" s="9">
        <v>2023</v>
      </c>
      <c r="M116" s="8" t="s">
        <v>797</v>
      </c>
      <c r="N116" s="8" t="s">
        <v>41</v>
      </c>
      <c r="O116" s="8" t="s">
        <v>42</v>
      </c>
      <c r="P116" s="6" t="s">
        <v>43</v>
      </c>
      <c r="Q116" s="8" t="s">
        <v>123</v>
      </c>
      <c r="R116" s="10" t="s">
        <v>77</v>
      </c>
      <c r="S116" s="11" t="s">
        <v>798</v>
      </c>
      <c r="T116" s="6"/>
      <c r="U116" s="27" t="str">
        <f>HYPERLINK("https://media.infra-m.ru/1919/1919459/cover/1919459.jpg", "Обложка")</f>
        <v>Обложка</v>
      </c>
      <c r="V116" s="27" t="str">
        <f>HYPERLINK("https://znanium.com/catalog/product/1919459", "Ознакомиться")</f>
        <v>Ознакомиться</v>
      </c>
      <c r="W116" s="8" t="s">
        <v>799</v>
      </c>
      <c r="X116" s="6"/>
      <c r="Y116" s="6"/>
      <c r="Z116" s="6"/>
      <c r="AA116" s="6" t="s">
        <v>60</v>
      </c>
    </row>
    <row r="117" spans="1:27" s="4" customFormat="1" ht="51.95" customHeight="1">
      <c r="A117" s="5">
        <v>0</v>
      </c>
      <c r="B117" s="6" t="s">
        <v>800</v>
      </c>
      <c r="C117" s="7">
        <v>1044</v>
      </c>
      <c r="D117" s="8" t="s">
        <v>801</v>
      </c>
      <c r="E117" s="8" t="s">
        <v>802</v>
      </c>
      <c r="F117" s="8" t="s">
        <v>803</v>
      </c>
      <c r="G117" s="6" t="s">
        <v>111</v>
      </c>
      <c r="H117" s="6" t="s">
        <v>38</v>
      </c>
      <c r="I117" s="8" t="s">
        <v>804</v>
      </c>
      <c r="J117" s="9">
        <v>1</v>
      </c>
      <c r="K117" s="9">
        <v>207</v>
      </c>
      <c r="L117" s="9">
        <v>2023</v>
      </c>
      <c r="M117" s="8" t="s">
        <v>805</v>
      </c>
      <c r="N117" s="8" t="s">
        <v>41</v>
      </c>
      <c r="O117" s="8" t="s">
        <v>42</v>
      </c>
      <c r="P117" s="6" t="s">
        <v>75</v>
      </c>
      <c r="Q117" s="8" t="s">
        <v>76</v>
      </c>
      <c r="R117" s="10" t="s">
        <v>806</v>
      </c>
      <c r="S117" s="11"/>
      <c r="T117" s="6"/>
      <c r="U117" s="27" t="str">
        <f>HYPERLINK("https://media.infra-m.ru/2114/2114824/cover/2114824.jpg", "Обложка")</f>
        <v>Обложка</v>
      </c>
      <c r="V117" s="27" t="str">
        <f>HYPERLINK("https://znanium.com/catalog/product/2105341", "Ознакомиться")</f>
        <v>Ознакомиться</v>
      </c>
      <c r="W117" s="8" t="s">
        <v>85</v>
      </c>
      <c r="X117" s="6"/>
      <c r="Y117" s="6"/>
      <c r="Z117" s="6"/>
      <c r="AA117" s="6" t="s">
        <v>48</v>
      </c>
    </row>
    <row r="118" spans="1:27" s="4" customFormat="1" ht="42" customHeight="1">
      <c r="A118" s="5">
        <v>0</v>
      </c>
      <c r="B118" s="6" t="s">
        <v>807</v>
      </c>
      <c r="C118" s="13">
        <v>470</v>
      </c>
      <c r="D118" s="8" t="s">
        <v>808</v>
      </c>
      <c r="E118" s="8" t="s">
        <v>809</v>
      </c>
      <c r="F118" s="8" t="s">
        <v>810</v>
      </c>
      <c r="G118" s="6" t="s">
        <v>53</v>
      </c>
      <c r="H118" s="6" t="s">
        <v>38</v>
      </c>
      <c r="I118" s="8" t="s">
        <v>54</v>
      </c>
      <c r="J118" s="9">
        <v>1</v>
      </c>
      <c r="K118" s="9">
        <v>77</v>
      </c>
      <c r="L118" s="9">
        <v>2022</v>
      </c>
      <c r="M118" s="8" t="s">
        <v>811</v>
      </c>
      <c r="N118" s="8" t="s">
        <v>41</v>
      </c>
      <c r="O118" s="8" t="s">
        <v>42</v>
      </c>
      <c r="P118" s="6" t="s">
        <v>463</v>
      </c>
      <c r="Q118" s="8" t="s">
        <v>92</v>
      </c>
      <c r="R118" s="10" t="s">
        <v>812</v>
      </c>
      <c r="S118" s="11"/>
      <c r="T118" s="6"/>
      <c r="U118" s="27" t="str">
        <f>HYPERLINK("https://media.infra-m.ru/1946/1946191/cover/1946191.jpg", "Обложка")</f>
        <v>Обложка</v>
      </c>
      <c r="V118" s="27" t="str">
        <f>HYPERLINK("https://znanium.com/catalog/product/1922279", "Ознакомиться")</f>
        <v>Ознакомиться</v>
      </c>
      <c r="W118" s="8" t="s">
        <v>813</v>
      </c>
      <c r="X118" s="6"/>
      <c r="Y118" s="6"/>
      <c r="Z118" s="6"/>
      <c r="AA118" s="6" t="s">
        <v>96</v>
      </c>
    </row>
    <row r="119" spans="1:27" s="4" customFormat="1" ht="42" customHeight="1">
      <c r="A119" s="5">
        <v>0</v>
      </c>
      <c r="B119" s="6" t="s">
        <v>814</v>
      </c>
      <c r="C119" s="13">
        <v>760</v>
      </c>
      <c r="D119" s="8" t="s">
        <v>815</v>
      </c>
      <c r="E119" s="8" t="s">
        <v>816</v>
      </c>
      <c r="F119" s="8" t="s">
        <v>817</v>
      </c>
      <c r="G119" s="6" t="s">
        <v>53</v>
      </c>
      <c r="H119" s="6" t="s">
        <v>38</v>
      </c>
      <c r="I119" s="8" t="s">
        <v>73</v>
      </c>
      <c r="J119" s="9">
        <v>1</v>
      </c>
      <c r="K119" s="9">
        <v>155</v>
      </c>
      <c r="L119" s="9">
        <v>2023</v>
      </c>
      <c r="M119" s="8" t="s">
        <v>818</v>
      </c>
      <c r="N119" s="8" t="s">
        <v>41</v>
      </c>
      <c r="O119" s="8" t="s">
        <v>42</v>
      </c>
      <c r="P119" s="6" t="s">
        <v>75</v>
      </c>
      <c r="Q119" s="8" t="s">
        <v>76</v>
      </c>
      <c r="R119" s="10" t="s">
        <v>77</v>
      </c>
      <c r="S119" s="11"/>
      <c r="T119" s="6"/>
      <c r="U119" s="27" t="str">
        <f>HYPERLINK("https://media.infra-m.ru/1932/1932263/cover/1932263.jpg", "Обложка")</f>
        <v>Обложка</v>
      </c>
      <c r="V119" s="27" t="str">
        <f>HYPERLINK("https://znanium.com/catalog/product/1932263", "Ознакомиться")</f>
        <v>Ознакомиться</v>
      </c>
      <c r="W119" s="8" t="s">
        <v>142</v>
      </c>
      <c r="X119" s="6" t="s">
        <v>819</v>
      </c>
      <c r="Y119" s="6"/>
      <c r="Z119" s="6"/>
      <c r="AA119" s="6" t="s">
        <v>48</v>
      </c>
    </row>
    <row r="120" spans="1:27" s="4" customFormat="1" ht="42" customHeight="1">
      <c r="A120" s="5">
        <v>0</v>
      </c>
      <c r="B120" s="6" t="s">
        <v>820</v>
      </c>
      <c r="C120" s="13">
        <v>990</v>
      </c>
      <c r="D120" s="8" t="s">
        <v>821</v>
      </c>
      <c r="E120" s="8" t="s">
        <v>822</v>
      </c>
      <c r="F120" s="8" t="s">
        <v>823</v>
      </c>
      <c r="G120" s="6" t="s">
        <v>111</v>
      </c>
      <c r="H120" s="6" t="s">
        <v>38</v>
      </c>
      <c r="I120" s="8" t="s">
        <v>73</v>
      </c>
      <c r="J120" s="9">
        <v>1</v>
      </c>
      <c r="K120" s="9">
        <v>202</v>
      </c>
      <c r="L120" s="9">
        <v>2023</v>
      </c>
      <c r="M120" s="8" t="s">
        <v>824</v>
      </c>
      <c r="N120" s="8" t="s">
        <v>41</v>
      </c>
      <c r="O120" s="8" t="s">
        <v>42</v>
      </c>
      <c r="P120" s="6" t="s">
        <v>75</v>
      </c>
      <c r="Q120" s="8" t="s">
        <v>76</v>
      </c>
      <c r="R120" s="10" t="s">
        <v>77</v>
      </c>
      <c r="S120" s="11"/>
      <c r="T120" s="6"/>
      <c r="U120" s="27" t="str">
        <f>HYPERLINK("https://media.infra-m.ru/1971/1971053/cover/1971053.jpg", "Обложка")</f>
        <v>Обложка</v>
      </c>
      <c r="V120" s="27" t="str">
        <f>HYPERLINK("https://znanium.com/catalog/product/1971053", "Ознакомиться")</f>
        <v>Ознакомиться</v>
      </c>
      <c r="W120" s="8" t="s">
        <v>298</v>
      </c>
      <c r="X120" s="6"/>
      <c r="Y120" s="6"/>
      <c r="Z120" s="6"/>
      <c r="AA120" s="6" t="s">
        <v>86</v>
      </c>
    </row>
    <row r="121" spans="1:27" s="4" customFormat="1" ht="51.95" customHeight="1">
      <c r="A121" s="5">
        <v>0</v>
      </c>
      <c r="B121" s="6" t="s">
        <v>825</v>
      </c>
      <c r="C121" s="13">
        <v>640</v>
      </c>
      <c r="D121" s="8" t="s">
        <v>826</v>
      </c>
      <c r="E121" s="8" t="s">
        <v>827</v>
      </c>
      <c r="F121" s="8" t="s">
        <v>828</v>
      </c>
      <c r="G121" s="6" t="s">
        <v>111</v>
      </c>
      <c r="H121" s="6" t="s">
        <v>38</v>
      </c>
      <c r="I121" s="8" t="s">
        <v>156</v>
      </c>
      <c r="J121" s="9">
        <v>1</v>
      </c>
      <c r="K121" s="9">
        <v>131</v>
      </c>
      <c r="L121" s="9">
        <v>2024</v>
      </c>
      <c r="M121" s="8" t="s">
        <v>829</v>
      </c>
      <c r="N121" s="8" t="s">
        <v>41</v>
      </c>
      <c r="O121" s="8" t="s">
        <v>42</v>
      </c>
      <c r="P121" s="6" t="s">
        <v>830</v>
      </c>
      <c r="Q121" s="8" t="s">
        <v>123</v>
      </c>
      <c r="R121" s="10" t="s">
        <v>831</v>
      </c>
      <c r="S121" s="11" t="s">
        <v>832</v>
      </c>
      <c r="T121" s="6"/>
      <c r="U121" s="27" t="str">
        <f>HYPERLINK("https://media.infra-m.ru/2082/2082925/cover/2082925.jpg", "Обложка")</f>
        <v>Обложка</v>
      </c>
      <c r="V121" s="27" t="str">
        <f>HYPERLINK("https://znanium.com/catalog/product/2082925", "Ознакомиться")</f>
        <v>Ознакомиться</v>
      </c>
      <c r="W121" s="8" t="s">
        <v>85</v>
      </c>
      <c r="X121" s="6"/>
      <c r="Y121" s="6"/>
      <c r="Z121" s="6"/>
      <c r="AA121" s="6" t="s">
        <v>786</v>
      </c>
    </row>
    <row r="122" spans="1:27" s="4" customFormat="1" ht="44.1" customHeight="1">
      <c r="A122" s="5">
        <v>0</v>
      </c>
      <c r="B122" s="6" t="s">
        <v>833</v>
      </c>
      <c r="C122" s="7">
        <v>1000</v>
      </c>
      <c r="D122" s="8" t="s">
        <v>834</v>
      </c>
      <c r="E122" s="8" t="s">
        <v>835</v>
      </c>
      <c r="F122" s="8" t="s">
        <v>836</v>
      </c>
      <c r="G122" s="6" t="s">
        <v>37</v>
      </c>
      <c r="H122" s="6" t="s">
        <v>38</v>
      </c>
      <c r="I122" s="8" t="s">
        <v>278</v>
      </c>
      <c r="J122" s="9">
        <v>1</v>
      </c>
      <c r="K122" s="9">
        <v>196</v>
      </c>
      <c r="L122" s="9">
        <v>2023</v>
      </c>
      <c r="M122" s="8" t="s">
        <v>837</v>
      </c>
      <c r="N122" s="8" t="s">
        <v>41</v>
      </c>
      <c r="O122" s="8" t="s">
        <v>42</v>
      </c>
      <c r="P122" s="6" t="s">
        <v>43</v>
      </c>
      <c r="Q122" s="8" t="s">
        <v>123</v>
      </c>
      <c r="R122" s="10" t="s">
        <v>838</v>
      </c>
      <c r="S122" s="11"/>
      <c r="T122" s="6"/>
      <c r="U122" s="27" t="str">
        <f>HYPERLINK("https://media.infra-m.ru/1898/1898402/cover/1898402.jpg", "Обложка")</f>
        <v>Обложка</v>
      </c>
      <c r="V122" s="27" t="str">
        <f>HYPERLINK("https://znanium.com/catalog/product/1898402", "Ознакомиться")</f>
        <v>Ознакомиться</v>
      </c>
      <c r="W122" s="8" t="s">
        <v>85</v>
      </c>
      <c r="X122" s="6" t="s">
        <v>713</v>
      </c>
      <c r="Y122" s="6"/>
      <c r="Z122" s="6"/>
      <c r="AA122" s="6" t="s">
        <v>48</v>
      </c>
    </row>
    <row r="123" spans="1:27" s="4" customFormat="1" ht="42" customHeight="1">
      <c r="A123" s="5">
        <v>0</v>
      </c>
      <c r="B123" s="6" t="s">
        <v>839</v>
      </c>
      <c r="C123" s="13">
        <v>464.9</v>
      </c>
      <c r="D123" s="8" t="s">
        <v>840</v>
      </c>
      <c r="E123" s="8" t="s">
        <v>841</v>
      </c>
      <c r="F123" s="8" t="s">
        <v>842</v>
      </c>
      <c r="G123" s="6" t="s">
        <v>53</v>
      </c>
      <c r="H123" s="6" t="s">
        <v>65</v>
      </c>
      <c r="I123" s="8" t="s">
        <v>843</v>
      </c>
      <c r="J123" s="9">
        <v>1</v>
      </c>
      <c r="K123" s="9">
        <v>155</v>
      </c>
      <c r="L123" s="9">
        <v>2023</v>
      </c>
      <c r="M123" s="8" t="s">
        <v>844</v>
      </c>
      <c r="N123" s="8" t="s">
        <v>41</v>
      </c>
      <c r="O123" s="8" t="s">
        <v>42</v>
      </c>
      <c r="P123" s="6" t="s">
        <v>43</v>
      </c>
      <c r="Q123" s="8" t="s">
        <v>123</v>
      </c>
      <c r="R123" s="10" t="s">
        <v>77</v>
      </c>
      <c r="S123" s="11"/>
      <c r="T123" s="6"/>
      <c r="U123" s="27" t="str">
        <f>HYPERLINK("https://media.infra-m.ru/1894/1894205/cover/1894205.jpg", "Обложка")</f>
        <v>Обложка</v>
      </c>
      <c r="V123" s="12"/>
      <c r="W123" s="8"/>
      <c r="X123" s="6"/>
      <c r="Y123" s="6"/>
      <c r="Z123" s="6"/>
      <c r="AA123" s="6" t="s">
        <v>68</v>
      </c>
    </row>
    <row r="124" spans="1:27" s="4" customFormat="1" ht="51.95" customHeight="1">
      <c r="A124" s="5">
        <v>0</v>
      </c>
      <c r="B124" s="6" t="s">
        <v>845</v>
      </c>
      <c r="C124" s="7">
        <v>2244</v>
      </c>
      <c r="D124" s="8" t="s">
        <v>846</v>
      </c>
      <c r="E124" s="8" t="s">
        <v>847</v>
      </c>
      <c r="F124" s="8" t="s">
        <v>848</v>
      </c>
      <c r="G124" s="6" t="s">
        <v>111</v>
      </c>
      <c r="H124" s="6" t="s">
        <v>38</v>
      </c>
      <c r="I124" s="8" t="s">
        <v>112</v>
      </c>
      <c r="J124" s="9">
        <v>1</v>
      </c>
      <c r="K124" s="9">
        <v>560</v>
      </c>
      <c r="L124" s="9">
        <v>2024</v>
      </c>
      <c r="M124" s="8" t="s">
        <v>849</v>
      </c>
      <c r="N124" s="8" t="s">
        <v>41</v>
      </c>
      <c r="O124" s="8" t="s">
        <v>42</v>
      </c>
      <c r="P124" s="6" t="s">
        <v>103</v>
      </c>
      <c r="Q124" s="8" t="s">
        <v>114</v>
      </c>
      <c r="R124" s="10" t="s">
        <v>850</v>
      </c>
      <c r="S124" s="11" t="s">
        <v>851</v>
      </c>
      <c r="T124" s="6"/>
      <c r="U124" s="27" t="str">
        <f>HYPERLINK("https://media.infra-m.ru/2095/2095546/cover/2095546.jpg", "Обложка")</f>
        <v>Обложка</v>
      </c>
      <c r="V124" s="12"/>
      <c r="W124" s="8" t="s">
        <v>852</v>
      </c>
      <c r="X124" s="6"/>
      <c r="Y124" s="6"/>
      <c r="Z124" s="6" t="s">
        <v>853</v>
      </c>
      <c r="AA124" s="6" t="s">
        <v>334</v>
      </c>
    </row>
    <row r="125" spans="1:27" s="4" customFormat="1" ht="51.95" customHeight="1">
      <c r="A125" s="5">
        <v>0</v>
      </c>
      <c r="B125" s="6" t="s">
        <v>854</v>
      </c>
      <c r="C125" s="7">
        <v>2580</v>
      </c>
      <c r="D125" s="8" t="s">
        <v>855</v>
      </c>
      <c r="E125" s="8" t="s">
        <v>847</v>
      </c>
      <c r="F125" s="8" t="s">
        <v>848</v>
      </c>
      <c r="G125" s="6" t="s">
        <v>37</v>
      </c>
      <c r="H125" s="6" t="s">
        <v>38</v>
      </c>
      <c r="I125" s="8" t="s">
        <v>112</v>
      </c>
      <c r="J125" s="9">
        <v>1</v>
      </c>
      <c r="K125" s="9">
        <v>560</v>
      </c>
      <c r="L125" s="9">
        <v>2024</v>
      </c>
      <c r="M125" s="8" t="s">
        <v>856</v>
      </c>
      <c r="N125" s="8" t="s">
        <v>41</v>
      </c>
      <c r="O125" s="8" t="s">
        <v>42</v>
      </c>
      <c r="P125" s="6" t="s">
        <v>103</v>
      </c>
      <c r="Q125" s="8" t="s">
        <v>114</v>
      </c>
      <c r="R125" s="10" t="s">
        <v>857</v>
      </c>
      <c r="S125" s="11" t="s">
        <v>858</v>
      </c>
      <c r="T125" s="6"/>
      <c r="U125" s="27" t="str">
        <f>HYPERLINK("https://media.infra-m.ru/2085/2085115/cover/2085115.jpg", "Обложка")</f>
        <v>Обложка</v>
      </c>
      <c r="V125" s="27" t="str">
        <f>HYPERLINK("https://znanium.com/catalog/product/2085115", "Ознакомиться")</f>
        <v>Ознакомиться</v>
      </c>
      <c r="W125" s="8" t="s">
        <v>852</v>
      </c>
      <c r="X125" s="6"/>
      <c r="Y125" s="6"/>
      <c r="Z125" s="6"/>
      <c r="AA125" s="6" t="s">
        <v>86</v>
      </c>
    </row>
    <row r="126" spans="1:27" s="4" customFormat="1" ht="42" customHeight="1">
      <c r="A126" s="5">
        <v>0</v>
      </c>
      <c r="B126" s="6" t="s">
        <v>859</v>
      </c>
      <c r="C126" s="7">
        <v>1410</v>
      </c>
      <c r="D126" s="8" t="s">
        <v>860</v>
      </c>
      <c r="E126" s="8" t="s">
        <v>861</v>
      </c>
      <c r="F126" s="8" t="s">
        <v>862</v>
      </c>
      <c r="G126" s="6" t="s">
        <v>53</v>
      </c>
      <c r="H126" s="6" t="s">
        <v>38</v>
      </c>
      <c r="I126" s="8" t="s">
        <v>73</v>
      </c>
      <c r="J126" s="9">
        <v>1</v>
      </c>
      <c r="K126" s="9">
        <v>313</v>
      </c>
      <c r="L126" s="9">
        <v>2023</v>
      </c>
      <c r="M126" s="8" t="s">
        <v>863</v>
      </c>
      <c r="N126" s="8" t="s">
        <v>41</v>
      </c>
      <c r="O126" s="8" t="s">
        <v>42</v>
      </c>
      <c r="P126" s="6" t="s">
        <v>75</v>
      </c>
      <c r="Q126" s="8" t="s">
        <v>76</v>
      </c>
      <c r="R126" s="10" t="s">
        <v>864</v>
      </c>
      <c r="S126" s="11"/>
      <c r="T126" s="6"/>
      <c r="U126" s="27" t="str">
        <f>HYPERLINK("https://media.infra-m.ru/1926/1926407/cover/1926407.jpg", "Обложка")</f>
        <v>Обложка</v>
      </c>
      <c r="V126" s="27" t="str">
        <f>HYPERLINK("https://znanium.com/catalog/product/1926407", "Ознакомиться")</f>
        <v>Ознакомиться</v>
      </c>
      <c r="W126" s="8" t="s">
        <v>865</v>
      </c>
      <c r="X126" s="6"/>
      <c r="Y126" s="6"/>
      <c r="Z126" s="6"/>
      <c r="AA126" s="6" t="s">
        <v>273</v>
      </c>
    </row>
    <row r="127" spans="1:27" s="4" customFormat="1" ht="42" customHeight="1">
      <c r="A127" s="5">
        <v>0</v>
      </c>
      <c r="B127" s="6" t="s">
        <v>866</v>
      </c>
      <c r="C127" s="7">
        <v>1860</v>
      </c>
      <c r="D127" s="8" t="s">
        <v>867</v>
      </c>
      <c r="E127" s="8" t="s">
        <v>868</v>
      </c>
      <c r="F127" s="8" t="s">
        <v>869</v>
      </c>
      <c r="G127" s="6" t="s">
        <v>111</v>
      </c>
      <c r="H127" s="6" t="s">
        <v>38</v>
      </c>
      <c r="I127" s="8" t="s">
        <v>112</v>
      </c>
      <c r="J127" s="9">
        <v>1</v>
      </c>
      <c r="K127" s="9">
        <v>400</v>
      </c>
      <c r="L127" s="9">
        <v>2024</v>
      </c>
      <c r="M127" s="8" t="s">
        <v>870</v>
      </c>
      <c r="N127" s="8" t="s">
        <v>41</v>
      </c>
      <c r="O127" s="8" t="s">
        <v>42</v>
      </c>
      <c r="P127" s="6" t="s">
        <v>43</v>
      </c>
      <c r="Q127" s="8" t="s">
        <v>114</v>
      </c>
      <c r="R127" s="10" t="s">
        <v>871</v>
      </c>
      <c r="S127" s="11"/>
      <c r="T127" s="6"/>
      <c r="U127" s="27" t="str">
        <f>HYPERLINK("https://media.infra-m.ru/2048/2048901/cover/2048901.jpg", "Обложка")</f>
        <v>Обложка</v>
      </c>
      <c r="V127" s="27" t="str">
        <f>HYPERLINK("https://znanium.com/catalog/product/2048901", "Ознакомиться")</f>
        <v>Ознакомиться</v>
      </c>
      <c r="W127" s="8" t="s">
        <v>872</v>
      </c>
      <c r="X127" s="6"/>
      <c r="Y127" s="6"/>
      <c r="Z127" s="6"/>
      <c r="AA127" s="6" t="s">
        <v>221</v>
      </c>
    </row>
    <row r="128" spans="1:27" s="4" customFormat="1" ht="44.1" customHeight="1">
      <c r="A128" s="5">
        <v>0</v>
      </c>
      <c r="B128" s="6" t="s">
        <v>873</v>
      </c>
      <c r="C128" s="7">
        <v>1060</v>
      </c>
      <c r="D128" s="8" t="s">
        <v>874</v>
      </c>
      <c r="E128" s="8" t="s">
        <v>875</v>
      </c>
      <c r="F128" s="8" t="s">
        <v>876</v>
      </c>
      <c r="G128" s="6" t="s">
        <v>111</v>
      </c>
      <c r="H128" s="6" t="s">
        <v>38</v>
      </c>
      <c r="I128" s="8" t="s">
        <v>54</v>
      </c>
      <c r="J128" s="9">
        <v>1</v>
      </c>
      <c r="K128" s="9">
        <v>234</v>
      </c>
      <c r="L128" s="9">
        <v>2022</v>
      </c>
      <c r="M128" s="8" t="s">
        <v>877</v>
      </c>
      <c r="N128" s="8" t="s">
        <v>41</v>
      </c>
      <c r="O128" s="8" t="s">
        <v>42</v>
      </c>
      <c r="P128" s="6" t="s">
        <v>56</v>
      </c>
      <c r="Q128" s="8" t="s">
        <v>123</v>
      </c>
      <c r="R128" s="10" t="s">
        <v>878</v>
      </c>
      <c r="S128" s="11"/>
      <c r="T128" s="6"/>
      <c r="U128" s="27" t="str">
        <f>HYPERLINK("https://media.infra-m.ru/1891/1891838/cover/1891838.jpg", "Обложка")</f>
        <v>Обложка</v>
      </c>
      <c r="V128" s="27" t="str">
        <f>HYPERLINK("https://znanium.com/catalog/product/1891838", "Ознакомиться")</f>
        <v>Ознакомиться</v>
      </c>
      <c r="W128" s="8" t="s">
        <v>879</v>
      </c>
      <c r="X128" s="6"/>
      <c r="Y128" s="6"/>
      <c r="Z128" s="6"/>
      <c r="AA128" s="6" t="s">
        <v>273</v>
      </c>
    </row>
    <row r="129" spans="1:27" s="4" customFormat="1" ht="44.1" customHeight="1">
      <c r="A129" s="5">
        <v>0</v>
      </c>
      <c r="B129" s="6" t="s">
        <v>880</v>
      </c>
      <c r="C129" s="7">
        <v>1904.9</v>
      </c>
      <c r="D129" s="8" t="s">
        <v>881</v>
      </c>
      <c r="E129" s="8" t="s">
        <v>882</v>
      </c>
      <c r="F129" s="8" t="s">
        <v>883</v>
      </c>
      <c r="G129" s="6" t="s">
        <v>111</v>
      </c>
      <c r="H129" s="6" t="s">
        <v>38</v>
      </c>
      <c r="I129" s="8" t="s">
        <v>73</v>
      </c>
      <c r="J129" s="9">
        <v>1</v>
      </c>
      <c r="K129" s="9">
        <v>424</v>
      </c>
      <c r="L129" s="9">
        <v>2023</v>
      </c>
      <c r="M129" s="8" t="s">
        <v>884</v>
      </c>
      <c r="N129" s="8" t="s">
        <v>41</v>
      </c>
      <c r="O129" s="8" t="s">
        <v>42</v>
      </c>
      <c r="P129" s="6" t="s">
        <v>75</v>
      </c>
      <c r="Q129" s="8" t="s">
        <v>76</v>
      </c>
      <c r="R129" s="10" t="s">
        <v>885</v>
      </c>
      <c r="S129" s="11"/>
      <c r="T129" s="6"/>
      <c r="U129" s="27" t="str">
        <f>HYPERLINK("https://media.infra-m.ru/2044/2044333/cover/2044333.jpg", "Обложка")</f>
        <v>Обложка</v>
      </c>
      <c r="V129" s="27" t="str">
        <f>HYPERLINK("https://znanium.com/catalog/product/1157259", "Ознакомиться")</f>
        <v>Ознакомиться</v>
      </c>
      <c r="W129" s="8" t="s">
        <v>318</v>
      </c>
      <c r="X129" s="6"/>
      <c r="Y129" s="6"/>
      <c r="Z129" s="6"/>
      <c r="AA129" s="6" t="s">
        <v>143</v>
      </c>
    </row>
    <row r="130" spans="1:27" s="4" customFormat="1" ht="42" customHeight="1">
      <c r="A130" s="5">
        <v>0</v>
      </c>
      <c r="B130" s="6" t="s">
        <v>886</v>
      </c>
      <c r="C130" s="13">
        <v>854</v>
      </c>
      <c r="D130" s="8" t="s">
        <v>887</v>
      </c>
      <c r="E130" s="8" t="s">
        <v>888</v>
      </c>
      <c r="F130" s="8" t="s">
        <v>476</v>
      </c>
      <c r="G130" s="6" t="s">
        <v>53</v>
      </c>
      <c r="H130" s="6" t="s">
        <v>38</v>
      </c>
      <c r="I130" s="8" t="s">
        <v>54</v>
      </c>
      <c r="J130" s="9">
        <v>1</v>
      </c>
      <c r="K130" s="9">
        <v>188</v>
      </c>
      <c r="L130" s="9">
        <v>2023</v>
      </c>
      <c r="M130" s="8" t="s">
        <v>889</v>
      </c>
      <c r="N130" s="8" t="s">
        <v>41</v>
      </c>
      <c r="O130" s="8" t="s">
        <v>42</v>
      </c>
      <c r="P130" s="6" t="s">
        <v>56</v>
      </c>
      <c r="Q130" s="8" t="s">
        <v>890</v>
      </c>
      <c r="R130" s="10" t="s">
        <v>891</v>
      </c>
      <c r="S130" s="11"/>
      <c r="T130" s="6"/>
      <c r="U130" s="27" t="str">
        <f>HYPERLINK("https://media.infra-m.ru/1919/1919460/cover/1919460.jpg", "Обложка")</f>
        <v>Обложка</v>
      </c>
      <c r="V130" s="27" t="str">
        <f>HYPERLINK("https://znanium.com/catalog/product/1841030", "Ознакомиться")</f>
        <v>Ознакомиться</v>
      </c>
      <c r="W130" s="8" t="s">
        <v>142</v>
      </c>
      <c r="X130" s="6"/>
      <c r="Y130" s="6"/>
      <c r="Z130" s="6"/>
      <c r="AA130" s="6" t="s">
        <v>60</v>
      </c>
    </row>
    <row r="131" spans="1:27" s="4" customFormat="1" ht="51.95" customHeight="1">
      <c r="A131" s="5">
        <v>0</v>
      </c>
      <c r="B131" s="6" t="s">
        <v>892</v>
      </c>
      <c r="C131" s="7">
        <v>2924</v>
      </c>
      <c r="D131" s="8" t="s">
        <v>893</v>
      </c>
      <c r="E131" s="8" t="s">
        <v>894</v>
      </c>
      <c r="F131" s="8" t="s">
        <v>895</v>
      </c>
      <c r="G131" s="6" t="s">
        <v>37</v>
      </c>
      <c r="H131" s="6" t="s">
        <v>38</v>
      </c>
      <c r="I131" s="8" t="s">
        <v>156</v>
      </c>
      <c r="J131" s="9">
        <v>1</v>
      </c>
      <c r="K131" s="9">
        <v>634</v>
      </c>
      <c r="L131" s="9">
        <v>2023</v>
      </c>
      <c r="M131" s="8" t="s">
        <v>896</v>
      </c>
      <c r="N131" s="8" t="s">
        <v>41</v>
      </c>
      <c r="O131" s="8" t="s">
        <v>42</v>
      </c>
      <c r="P131" s="6" t="s">
        <v>103</v>
      </c>
      <c r="Q131" s="8" t="s">
        <v>123</v>
      </c>
      <c r="R131" s="10" t="s">
        <v>897</v>
      </c>
      <c r="S131" s="11" t="s">
        <v>898</v>
      </c>
      <c r="T131" s="6" t="s">
        <v>235</v>
      </c>
      <c r="U131" s="27" t="str">
        <f>HYPERLINK("https://media.infra-m.ru/2063/2063427/cover/2063427.jpg", "Обложка")</f>
        <v>Обложка</v>
      </c>
      <c r="V131" s="27" t="str">
        <f>HYPERLINK("https://znanium.com/catalog/product/1047183", "Ознакомиться")</f>
        <v>Ознакомиться</v>
      </c>
      <c r="W131" s="8" t="s">
        <v>899</v>
      </c>
      <c r="X131" s="6"/>
      <c r="Y131" s="6"/>
      <c r="Z131" s="6"/>
      <c r="AA131" s="6" t="s">
        <v>451</v>
      </c>
    </row>
    <row r="132" spans="1:27" s="4" customFormat="1" ht="51.95" customHeight="1">
      <c r="A132" s="5">
        <v>0</v>
      </c>
      <c r="B132" s="6" t="s">
        <v>900</v>
      </c>
      <c r="C132" s="13">
        <v>794</v>
      </c>
      <c r="D132" s="8" t="s">
        <v>901</v>
      </c>
      <c r="E132" s="8" t="s">
        <v>902</v>
      </c>
      <c r="F132" s="8" t="s">
        <v>903</v>
      </c>
      <c r="G132" s="6" t="s">
        <v>37</v>
      </c>
      <c r="H132" s="6" t="s">
        <v>38</v>
      </c>
      <c r="I132" s="8" t="s">
        <v>39</v>
      </c>
      <c r="J132" s="9">
        <v>1</v>
      </c>
      <c r="K132" s="9">
        <v>173</v>
      </c>
      <c r="L132" s="9">
        <v>2024</v>
      </c>
      <c r="M132" s="8" t="s">
        <v>904</v>
      </c>
      <c r="N132" s="8" t="s">
        <v>41</v>
      </c>
      <c r="O132" s="8" t="s">
        <v>42</v>
      </c>
      <c r="P132" s="6" t="s">
        <v>43</v>
      </c>
      <c r="Q132" s="8" t="s">
        <v>123</v>
      </c>
      <c r="R132" s="10" t="s">
        <v>77</v>
      </c>
      <c r="S132" s="11" t="s">
        <v>905</v>
      </c>
      <c r="T132" s="6"/>
      <c r="U132" s="27" t="str">
        <f>HYPERLINK("https://media.infra-m.ru/2089/2089366/cover/2089366.jpg", "Обложка")</f>
        <v>Обложка</v>
      </c>
      <c r="V132" s="27" t="str">
        <f>HYPERLINK("https://znanium.com/catalog/product/1083422", "Ознакомиться")</f>
        <v>Ознакомиться</v>
      </c>
      <c r="W132" s="8" t="s">
        <v>799</v>
      </c>
      <c r="X132" s="6"/>
      <c r="Y132" s="6"/>
      <c r="Z132" s="6"/>
      <c r="AA132" s="6" t="s">
        <v>96</v>
      </c>
    </row>
    <row r="133" spans="1:27" s="4" customFormat="1" ht="51.95" customHeight="1">
      <c r="A133" s="5">
        <v>0</v>
      </c>
      <c r="B133" s="6" t="s">
        <v>906</v>
      </c>
      <c r="C133" s="13">
        <v>904</v>
      </c>
      <c r="D133" s="8" t="s">
        <v>907</v>
      </c>
      <c r="E133" s="8" t="s">
        <v>908</v>
      </c>
      <c r="F133" s="8" t="s">
        <v>790</v>
      </c>
      <c r="G133" s="6" t="s">
        <v>111</v>
      </c>
      <c r="H133" s="6" t="s">
        <v>38</v>
      </c>
      <c r="I133" s="8" t="s">
        <v>278</v>
      </c>
      <c r="J133" s="9">
        <v>1</v>
      </c>
      <c r="K133" s="9">
        <v>196</v>
      </c>
      <c r="L133" s="9">
        <v>2023</v>
      </c>
      <c r="M133" s="8" t="s">
        <v>909</v>
      </c>
      <c r="N133" s="8" t="s">
        <v>41</v>
      </c>
      <c r="O133" s="8" t="s">
        <v>42</v>
      </c>
      <c r="P133" s="6" t="s">
        <v>43</v>
      </c>
      <c r="Q133" s="8" t="s">
        <v>123</v>
      </c>
      <c r="R133" s="10" t="s">
        <v>910</v>
      </c>
      <c r="S133" s="11" t="s">
        <v>792</v>
      </c>
      <c r="T133" s="6"/>
      <c r="U133" s="27" t="str">
        <f>HYPERLINK("https://media.infra-m.ru/2058/2058759/cover/2058759.jpg", "Обложка")</f>
        <v>Обложка</v>
      </c>
      <c r="V133" s="27" t="str">
        <f>HYPERLINK("https://znanium.com/catalog/product/1911105", "Ознакомиться")</f>
        <v>Ознакомиться</v>
      </c>
      <c r="W133" s="8" t="s">
        <v>85</v>
      </c>
      <c r="X133" s="6"/>
      <c r="Y133" s="6"/>
      <c r="Z133" s="6"/>
      <c r="AA133" s="6" t="s">
        <v>86</v>
      </c>
    </row>
    <row r="134" spans="1:27" s="4" customFormat="1" ht="51.95" customHeight="1">
      <c r="A134" s="5">
        <v>0</v>
      </c>
      <c r="B134" s="6" t="s">
        <v>911</v>
      </c>
      <c r="C134" s="7">
        <v>1360</v>
      </c>
      <c r="D134" s="8" t="s">
        <v>912</v>
      </c>
      <c r="E134" s="8" t="s">
        <v>913</v>
      </c>
      <c r="F134" s="8" t="s">
        <v>914</v>
      </c>
      <c r="G134" s="6" t="s">
        <v>37</v>
      </c>
      <c r="H134" s="6" t="s">
        <v>38</v>
      </c>
      <c r="I134" s="8" t="s">
        <v>112</v>
      </c>
      <c r="J134" s="9">
        <v>1</v>
      </c>
      <c r="K134" s="9">
        <v>344</v>
      </c>
      <c r="L134" s="9">
        <v>2022</v>
      </c>
      <c r="M134" s="8" t="s">
        <v>915</v>
      </c>
      <c r="N134" s="8" t="s">
        <v>41</v>
      </c>
      <c r="O134" s="8" t="s">
        <v>42</v>
      </c>
      <c r="P134" s="6" t="s">
        <v>103</v>
      </c>
      <c r="Q134" s="8" t="s">
        <v>114</v>
      </c>
      <c r="R134" s="10" t="s">
        <v>916</v>
      </c>
      <c r="S134" s="11" t="s">
        <v>917</v>
      </c>
      <c r="T134" s="6" t="s">
        <v>235</v>
      </c>
      <c r="U134" s="27" t="str">
        <f>HYPERLINK("https://media.infra-m.ru/1242/1242551/cover/1242551.jpg", "Обложка")</f>
        <v>Обложка</v>
      </c>
      <c r="V134" s="27" t="str">
        <f>HYPERLINK("https://znanium.com/catalog/product/1242551", "Ознакомиться")</f>
        <v>Ознакомиться</v>
      </c>
      <c r="W134" s="8" t="s">
        <v>918</v>
      </c>
      <c r="X134" s="6"/>
      <c r="Y134" s="6"/>
      <c r="Z134" s="6"/>
      <c r="AA134" s="6" t="s">
        <v>334</v>
      </c>
    </row>
    <row r="135" spans="1:27" s="4" customFormat="1" ht="51.95" customHeight="1">
      <c r="A135" s="5">
        <v>0</v>
      </c>
      <c r="B135" s="6" t="s">
        <v>919</v>
      </c>
      <c r="C135" s="7">
        <v>2600</v>
      </c>
      <c r="D135" s="8" t="s">
        <v>920</v>
      </c>
      <c r="E135" s="8" t="s">
        <v>921</v>
      </c>
      <c r="F135" s="8" t="s">
        <v>768</v>
      </c>
      <c r="G135" s="6" t="s">
        <v>37</v>
      </c>
      <c r="H135" s="6" t="s">
        <v>38</v>
      </c>
      <c r="I135" s="8" t="s">
        <v>39</v>
      </c>
      <c r="J135" s="9">
        <v>1</v>
      </c>
      <c r="K135" s="9">
        <v>660</v>
      </c>
      <c r="L135" s="9">
        <v>2023</v>
      </c>
      <c r="M135" s="8" t="s">
        <v>922</v>
      </c>
      <c r="N135" s="8" t="s">
        <v>923</v>
      </c>
      <c r="O135" s="8" t="s">
        <v>924</v>
      </c>
      <c r="P135" s="6" t="s">
        <v>103</v>
      </c>
      <c r="Q135" s="8" t="s">
        <v>44</v>
      </c>
      <c r="R135" s="10" t="s">
        <v>925</v>
      </c>
      <c r="S135" s="11" t="s">
        <v>926</v>
      </c>
      <c r="T135" s="6" t="s">
        <v>235</v>
      </c>
      <c r="U135" s="27" t="str">
        <f>HYPERLINK("https://media.infra-m.ru/2032/2032575/cover/2032575.jpg", "Обложка")</f>
        <v>Обложка</v>
      </c>
      <c r="V135" s="27" t="str">
        <f>HYPERLINK("https://znanium.com/catalog/product/1905253", "Ознакомиться")</f>
        <v>Ознакомиться</v>
      </c>
      <c r="W135" s="8" t="s">
        <v>772</v>
      </c>
      <c r="X135" s="6"/>
      <c r="Y135" s="6"/>
      <c r="Z135" s="6"/>
      <c r="AA135" s="6" t="s">
        <v>676</v>
      </c>
    </row>
    <row r="136" spans="1:27" s="4" customFormat="1" ht="51.95" customHeight="1">
      <c r="A136" s="5">
        <v>0</v>
      </c>
      <c r="B136" s="6" t="s">
        <v>927</v>
      </c>
      <c r="C136" s="7">
        <v>2900</v>
      </c>
      <c r="D136" s="8" t="s">
        <v>928</v>
      </c>
      <c r="E136" s="8" t="s">
        <v>921</v>
      </c>
      <c r="F136" s="8" t="s">
        <v>768</v>
      </c>
      <c r="G136" s="6" t="s">
        <v>37</v>
      </c>
      <c r="H136" s="6" t="s">
        <v>38</v>
      </c>
      <c r="I136" s="8" t="s">
        <v>156</v>
      </c>
      <c r="J136" s="9">
        <v>1</v>
      </c>
      <c r="K136" s="9">
        <v>660</v>
      </c>
      <c r="L136" s="9">
        <v>2024</v>
      </c>
      <c r="M136" s="8" t="s">
        <v>929</v>
      </c>
      <c r="N136" s="8" t="s">
        <v>923</v>
      </c>
      <c r="O136" s="8" t="s">
        <v>924</v>
      </c>
      <c r="P136" s="6" t="s">
        <v>103</v>
      </c>
      <c r="Q136" s="8" t="s">
        <v>123</v>
      </c>
      <c r="R136" s="10" t="s">
        <v>930</v>
      </c>
      <c r="S136" s="11" t="s">
        <v>931</v>
      </c>
      <c r="T136" s="6" t="s">
        <v>235</v>
      </c>
      <c r="U136" s="27" t="str">
        <f>HYPERLINK("https://media.infra-m.ru/2073/2073492/cover/2073492.jpg", "Обложка")</f>
        <v>Обложка</v>
      </c>
      <c r="V136" s="27" t="str">
        <f>HYPERLINK("https://znanium.com/catalog/product/2073492", "Ознакомиться")</f>
        <v>Ознакомиться</v>
      </c>
      <c r="W136" s="8" t="s">
        <v>772</v>
      </c>
      <c r="X136" s="6"/>
      <c r="Y136" s="6"/>
      <c r="Z136" s="6" t="s">
        <v>932</v>
      </c>
      <c r="AA136" s="6" t="s">
        <v>676</v>
      </c>
    </row>
    <row r="137" spans="1:27" s="4" customFormat="1" ht="51.95" customHeight="1">
      <c r="A137" s="5">
        <v>0</v>
      </c>
      <c r="B137" s="6" t="s">
        <v>933</v>
      </c>
      <c r="C137" s="13">
        <v>500</v>
      </c>
      <c r="D137" s="8" t="s">
        <v>934</v>
      </c>
      <c r="E137" s="8" t="s">
        <v>935</v>
      </c>
      <c r="F137" s="8" t="s">
        <v>936</v>
      </c>
      <c r="G137" s="6" t="s">
        <v>53</v>
      </c>
      <c r="H137" s="6" t="s">
        <v>38</v>
      </c>
      <c r="I137" s="8" t="s">
        <v>156</v>
      </c>
      <c r="J137" s="9">
        <v>1</v>
      </c>
      <c r="K137" s="9">
        <v>96</v>
      </c>
      <c r="L137" s="9">
        <v>2023</v>
      </c>
      <c r="M137" s="8" t="s">
        <v>937</v>
      </c>
      <c r="N137" s="8" t="s">
        <v>41</v>
      </c>
      <c r="O137" s="8" t="s">
        <v>42</v>
      </c>
      <c r="P137" s="6" t="s">
        <v>43</v>
      </c>
      <c r="Q137" s="8" t="s">
        <v>123</v>
      </c>
      <c r="R137" s="10" t="s">
        <v>938</v>
      </c>
      <c r="S137" s="11" t="s">
        <v>939</v>
      </c>
      <c r="T137" s="6"/>
      <c r="U137" s="27" t="str">
        <f>HYPERLINK("https://media.infra-m.ru/1912/1912986/cover/1912986.jpg", "Обложка")</f>
        <v>Обложка</v>
      </c>
      <c r="V137" s="27" t="str">
        <f>HYPERLINK("https://znanium.com/catalog/product/1912986", "Ознакомиться")</f>
        <v>Ознакомиться</v>
      </c>
      <c r="W137" s="8" t="s">
        <v>180</v>
      </c>
      <c r="X137" s="6"/>
      <c r="Y137" s="6"/>
      <c r="Z137" s="6"/>
      <c r="AA137" s="6" t="s">
        <v>78</v>
      </c>
    </row>
    <row r="138" spans="1:27" s="4" customFormat="1" ht="51.95" customHeight="1">
      <c r="A138" s="5">
        <v>0</v>
      </c>
      <c r="B138" s="6" t="s">
        <v>940</v>
      </c>
      <c r="C138" s="7">
        <v>1230</v>
      </c>
      <c r="D138" s="8" t="s">
        <v>941</v>
      </c>
      <c r="E138" s="8" t="s">
        <v>942</v>
      </c>
      <c r="F138" s="8" t="s">
        <v>943</v>
      </c>
      <c r="G138" s="6" t="s">
        <v>37</v>
      </c>
      <c r="H138" s="6" t="s">
        <v>38</v>
      </c>
      <c r="I138" s="8" t="s">
        <v>112</v>
      </c>
      <c r="J138" s="9">
        <v>1</v>
      </c>
      <c r="K138" s="9">
        <v>359</v>
      </c>
      <c r="L138" s="9">
        <v>2020</v>
      </c>
      <c r="M138" s="8" t="s">
        <v>944</v>
      </c>
      <c r="N138" s="8" t="s">
        <v>41</v>
      </c>
      <c r="O138" s="8" t="s">
        <v>42</v>
      </c>
      <c r="P138" s="6" t="s">
        <v>43</v>
      </c>
      <c r="Q138" s="8" t="s">
        <v>114</v>
      </c>
      <c r="R138" s="10" t="s">
        <v>945</v>
      </c>
      <c r="S138" s="11" t="s">
        <v>946</v>
      </c>
      <c r="T138" s="6"/>
      <c r="U138" s="27" t="str">
        <f>HYPERLINK("https://media.infra-m.ru/1088/1088341/cover/1088341.jpg", "Обложка")</f>
        <v>Обложка</v>
      </c>
      <c r="V138" s="27" t="str">
        <f>HYPERLINK("https://znanium.com/catalog/product/1088341", "Ознакомиться")</f>
        <v>Ознакомиться</v>
      </c>
      <c r="W138" s="8" t="s">
        <v>947</v>
      </c>
      <c r="X138" s="6"/>
      <c r="Y138" s="6"/>
      <c r="Z138" s="6" t="s">
        <v>117</v>
      </c>
      <c r="AA138" s="6" t="s">
        <v>273</v>
      </c>
    </row>
    <row r="139" spans="1:27" s="4" customFormat="1" ht="51.95" customHeight="1">
      <c r="A139" s="5">
        <v>0</v>
      </c>
      <c r="B139" s="6" t="s">
        <v>948</v>
      </c>
      <c r="C139" s="7">
        <v>1624.9</v>
      </c>
      <c r="D139" s="8" t="s">
        <v>949</v>
      </c>
      <c r="E139" s="8" t="s">
        <v>942</v>
      </c>
      <c r="F139" s="8" t="s">
        <v>950</v>
      </c>
      <c r="G139" s="6" t="s">
        <v>37</v>
      </c>
      <c r="H139" s="6" t="s">
        <v>286</v>
      </c>
      <c r="I139" s="8" t="s">
        <v>101</v>
      </c>
      <c r="J139" s="9">
        <v>1</v>
      </c>
      <c r="K139" s="9">
        <v>360</v>
      </c>
      <c r="L139" s="9">
        <v>2023</v>
      </c>
      <c r="M139" s="8" t="s">
        <v>951</v>
      </c>
      <c r="N139" s="8" t="s">
        <v>41</v>
      </c>
      <c r="O139" s="8" t="s">
        <v>42</v>
      </c>
      <c r="P139" s="6" t="s">
        <v>43</v>
      </c>
      <c r="Q139" s="8" t="s">
        <v>92</v>
      </c>
      <c r="R139" s="10" t="s">
        <v>952</v>
      </c>
      <c r="S139" s="11" t="s">
        <v>953</v>
      </c>
      <c r="T139" s="6"/>
      <c r="U139" s="27" t="str">
        <f>HYPERLINK("https://media.infra-m.ru/1911/1911107/cover/1911107.jpg", "Обложка")</f>
        <v>Обложка</v>
      </c>
      <c r="V139" s="27" t="str">
        <f>HYPERLINK("https://znanium.com/catalog/product/1941747", "Ознакомиться")</f>
        <v>Ознакомиться</v>
      </c>
      <c r="W139" s="8" t="s">
        <v>947</v>
      </c>
      <c r="X139" s="6"/>
      <c r="Y139" s="6"/>
      <c r="Z139" s="6"/>
      <c r="AA139" s="6" t="s">
        <v>107</v>
      </c>
    </row>
    <row r="140" spans="1:27" s="4" customFormat="1" ht="51.95" customHeight="1">
      <c r="A140" s="5">
        <v>0</v>
      </c>
      <c r="B140" s="6" t="s">
        <v>954</v>
      </c>
      <c r="C140" s="7">
        <v>1290</v>
      </c>
      <c r="D140" s="8" t="s">
        <v>955</v>
      </c>
      <c r="E140" s="8" t="s">
        <v>956</v>
      </c>
      <c r="F140" s="8" t="s">
        <v>957</v>
      </c>
      <c r="G140" s="6" t="s">
        <v>111</v>
      </c>
      <c r="H140" s="6" t="s">
        <v>38</v>
      </c>
      <c r="I140" s="8" t="s">
        <v>101</v>
      </c>
      <c r="J140" s="9">
        <v>1</v>
      </c>
      <c r="K140" s="9">
        <v>280</v>
      </c>
      <c r="L140" s="9">
        <v>2023</v>
      </c>
      <c r="M140" s="8" t="s">
        <v>958</v>
      </c>
      <c r="N140" s="8" t="s">
        <v>41</v>
      </c>
      <c r="O140" s="8" t="s">
        <v>42</v>
      </c>
      <c r="P140" s="6" t="s">
        <v>43</v>
      </c>
      <c r="Q140" s="8" t="s">
        <v>92</v>
      </c>
      <c r="R140" s="10" t="s">
        <v>959</v>
      </c>
      <c r="S140" s="11" t="s">
        <v>960</v>
      </c>
      <c r="T140" s="6"/>
      <c r="U140" s="27" t="str">
        <f>HYPERLINK("https://media.infra-m.ru/1905/1905744/cover/1905744.jpg", "Обложка")</f>
        <v>Обложка</v>
      </c>
      <c r="V140" s="27" t="str">
        <f>HYPERLINK("https://znanium.com/catalog/product/1905744", "Ознакомиться")</f>
        <v>Ознакомиться</v>
      </c>
      <c r="W140" s="8"/>
      <c r="X140" s="6"/>
      <c r="Y140" s="6"/>
      <c r="Z140" s="6"/>
      <c r="AA140" s="6" t="s">
        <v>107</v>
      </c>
    </row>
    <row r="141" spans="1:27" s="4" customFormat="1" ht="51.95" customHeight="1">
      <c r="A141" s="5">
        <v>0</v>
      </c>
      <c r="B141" s="6" t="s">
        <v>961</v>
      </c>
      <c r="C141" s="13">
        <v>944</v>
      </c>
      <c r="D141" s="8" t="s">
        <v>962</v>
      </c>
      <c r="E141" s="8" t="s">
        <v>963</v>
      </c>
      <c r="F141" s="8" t="s">
        <v>964</v>
      </c>
      <c r="G141" s="6" t="s">
        <v>37</v>
      </c>
      <c r="H141" s="6" t="s">
        <v>38</v>
      </c>
      <c r="I141" s="8" t="s">
        <v>101</v>
      </c>
      <c r="J141" s="9">
        <v>1</v>
      </c>
      <c r="K141" s="9">
        <v>205</v>
      </c>
      <c r="L141" s="9">
        <v>2024</v>
      </c>
      <c r="M141" s="8" t="s">
        <v>965</v>
      </c>
      <c r="N141" s="8" t="s">
        <v>41</v>
      </c>
      <c r="O141" s="8" t="s">
        <v>42</v>
      </c>
      <c r="P141" s="6" t="s">
        <v>43</v>
      </c>
      <c r="Q141" s="8" t="s">
        <v>92</v>
      </c>
      <c r="R141" s="10" t="s">
        <v>966</v>
      </c>
      <c r="S141" s="11" t="s">
        <v>967</v>
      </c>
      <c r="T141" s="6"/>
      <c r="U141" s="27" t="str">
        <f>HYPERLINK("https://media.infra-m.ru/2096/2096150/cover/2096150.jpg", "Обложка")</f>
        <v>Обложка</v>
      </c>
      <c r="V141" s="27" t="str">
        <f>HYPERLINK("https://znanium.com/catalog/product/1080998", "Ознакомиться")</f>
        <v>Ознакомиться</v>
      </c>
      <c r="W141" s="8"/>
      <c r="X141" s="6"/>
      <c r="Y141" s="6"/>
      <c r="Z141" s="6"/>
      <c r="AA141" s="6" t="s">
        <v>96</v>
      </c>
    </row>
    <row r="142" spans="1:27" s="4" customFormat="1" ht="51.95" customHeight="1">
      <c r="A142" s="5">
        <v>0</v>
      </c>
      <c r="B142" s="6" t="s">
        <v>968</v>
      </c>
      <c r="C142" s="13">
        <v>474.9</v>
      </c>
      <c r="D142" s="8" t="s">
        <v>969</v>
      </c>
      <c r="E142" s="8" t="s">
        <v>970</v>
      </c>
      <c r="F142" s="8" t="s">
        <v>971</v>
      </c>
      <c r="G142" s="6" t="s">
        <v>53</v>
      </c>
      <c r="H142" s="6" t="s">
        <v>38</v>
      </c>
      <c r="I142" s="8" t="s">
        <v>54</v>
      </c>
      <c r="J142" s="9">
        <v>1</v>
      </c>
      <c r="K142" s="9">
        <v>107</v>
      </c>
      <c r="L142" s="9">
        <v>2022</v>
      </c>
      <c r="M142" s="8" t="s">
        <v>972</v>
      </c>
      <c r="N142" s="8" t="s">
        <v>41</v>
      </c>
      <c r="O142" s="8" t="s">
        <v>42</v>
      </c>
      <c r="P142" s="6" t="s">
        <v>56</v>
      </c>
      <c r="Q142" s="8" t="s">
        <v>890</v>
      </c>
      <c r="R142" s="10" t="s">
        <v>973</v>
      </c>
      <c r="S142" s="11"/>
      <c r="T142" s="6"/>
      <c r="U142" s="27" t="str">
        <f>HYPERLINK("https://media.infra-m.ru/1850/1850648/cover/1850648.jpg", "Обложка")</f>
        <v>Обложка</v>
      </c>
      <c r="V142" s="27" t="str">
        <f>HYPERLINK("https://znanium.com/catalog/product/1946513", "Ознакомиться")</f>
        <v>Ознакомиться</v>
      </c>
      <c r="W142" s="8" t="s">
        <v>342</v>
      </c>
      <c r="X142" s="6"/>
      <c r="Y142" s="6"/>
      <c r="Z142" s="6"/>
      <c r="AA142" s="6" t="s">
        <v>60</v>
      </c>
    </row>
    <row r="143" spans="1:27" s="4" customFormat="1" ht="51.95" customHeight="1">
      <c r="A143" s="5">
        <v>0</v>
      </c>
      <c r="B143" s="6" t="s">
        <v>974</v>
      </c>
      <c r="C143" s="7">
        <v>1179.9000000000001</v>
      </c>
      <c r="D143" s="8" t="s">
        <v>975</v>
      </c>
      <c r="E143" s="8" t="s">
        <v>976</v>
      </c>
      <c r="F143" s="8" t="s">
        <v>977</v>
      </c>
      <c r="G143" s="6" t="s">
        <v>37</v>
      </c>
      <c r="H143" s="6" t="s">
        <v>38</v>
      </c>
      <c r="I143" s="8" t="s">
        <v>156</v>
      </c>
      <c r="J143" s="9">
        <v>1</v>
      </c>
      <c r="K143" s="9">
        <v>207</v>
      </c>
      <c r="L143" s="9">
        <v>2023</v>
      </c>
      <c r="M143" s="8" t="s">
        <v>978</v>
      </c>
      <c r="N143" s="8" t="s">
        <v>41</v>
      </c>
      <c r="O143" s="8" t="s">
        <v>42</v>
      </c>
      <c r="P143" s="6" t="s">
        <v>43</v>
      </c>
      <c r="Q143" s="8" t="s">
        <v>123</v>
      </c>
      <c r="R143" s="10" t="s">
        <v>979</v>
      </c>
      <c r="S143" s="11" t="s">
        <v>980</v>
      </c>
      <c r="T143" s="6"/>
      <c r="U143" s="27" t="str">
        <f>HYPERLINK("https://media.infra-m.ru/2030/2030870/cover/2030870.jpg", "Обложка")</f>
        <v>Обложка</v>
      </c>
      <c r="V143" s="27" t="str">
        <f>HYPERLINK("https://znanium.com/catalog/product/2125011", "Ознакомиться")</f>
        <v>Ознакомиться</v>
      </c>
      <c r="W143" s="8" t="s">
        <v>298</v>
      </c>
      <c r="X143" s="6"/>
      <c r="Y143" s="6"/>
      <c r="Z143" s="6"/>
      <c r="AA143" s="6" t="s">
        <v>273</v>
      </c>
    </row>
    <row r="144" spans="1:27" s="4" customFormat="1" ht="42" customHeight="1">
      <c r="A144" s="5">
        <v>0</v>
      </c>
      <c r="B144" s="6" t="s">
        <v>981</v>
      </c>
      <c r="C144" s="13">
        <v>864</v>
      </c>
      <c r="D144" s="8" t="s">
        <v>982</v>
      </c>
      <c r="E144" s="8" t="s">
        <v>983</v>
      </c>
      <c r="F144" s="8" t="s">
        <v>823</v>
      </c>
      <c r="G144" s="6" t="s">
        <v>37</v>
      </c>
      <c r="H144" s="6" t="s">
        <v>38</v>
      </c>
      <c r="I144" s="8" t="s">
        <v>73</v>
      </c>
      <c r="J144" s="9">
        <v>1</v>
      </c>
      <c r="K144" s="9">
        <v>191</v>
      </c>
      <c r="L144" s="9">
        <v>2023</v>
      </c>
      <c r="M144" s="8" t="s">
        <v>984</v>
      </c>
      <c r="N144" s="8" t="s">
        <v>41</v>
      </c>
      <c r="O144" s="8" t="s">
        <v>42</v>
      </c>
      <c r="P144" s="6" t="s">
        <v>75</v>
      </c>
      <c r="Q144" s="8" t="s">
        <v>76</v>
      </c>
      <c r="R144" s="10" t="s">
        <v>229</v>
      </c>
      <c r="S144" s="11"/>
      <c r="T144" s="6"/>
      <c r="U144" s="27" t="str">
        <f>HYPERLINK("https://media.infra-m.ru/2021/2021472/cover/2021472.jpg", "Обложка")</f>
        <v>Обложка</v>
      </c>
      <c r="V144" s="27" t="str">
        <f>HYPERLINK("https://znanium.com/catalog/product/1082934", "Ознакомиться")</f>
        <v>Ознакомиться</v>
      </c>
      <c r="W144" s="8" t="s">
        <v>298</v>
      </c>
      <c r="X144" s="6"/>
      <c r="Y144" s="6"/>
      <c r="Z144" s="6"/>
      <c r="AA144" s="6" t="s">
        <v>86</v>
      </c>
    </row>
    <row r="145" spans="1:27" s="4" customFormat="1" ht="51.95" customHeight="1">
      <c r="A145" s="5">
        <v>0</v>
      </c>
      <c r="B145" s="6" t="s">
        <v>985</v>
      </c>
      <c r="C145" s="7">
        <v>1990</v>
      </c>
      <c r="D145" s="8" t="s">
        <v>986</v>
      </c>
      <c r="E145" s="8" t="s">
        <v>987</v>
      </c>
      <c r="F145" s="8" t="s">
        <v>988</v>
      </c>
      <c r="G145" s="6" t="s">
        <v>37</v>
      </c>
      <c r="H145" s="6" t="s">
        <v>38</v>
      </c>
      <c r="I145" s="8" t="s">
        <v>156</v>
      </c>
      <c r="J145" s="9">
        <v>1</v>
      </c>
      <c r="K145" s="9">
        <v>192</v>
      </c>
      <c r="L145" s="9">
        <v>2020</v>
      </c>
      <c r="M145" s="8" t="s">
        <v>989</v>
      </c>
      <c r="N145" s="8" t="s">
        <v>41</v>
      </c>
      <c r="O145" s="8" t="s">
        <v>42</v>
      </c>
      <c r="P145" s="6" t="s">
        <v>43</v>
      </c>
      <c r="Q145" s="8" t="s">
        <v>123</v>
      </c>
      <c r="R145" s="10" t="s">
        <v>990</v>
      </c>
      <c r="S145" s="11" t="s">
        <v>980</v>
      </c>
      <c r="T145" s="6"/>
      <c r="U145" s="27" t="str">
        <f>HYPERLINK("https://media.infra-m.ru/0995/0995531/cover/995531.jpg", "Обложка")</f>
        <v>Обложка</v>
      </c>
      <c r="V145" s="27" t="str">
        <f>HYPERLINK("https://znanium.com/catalog/product/995531", "Ознакомиться")</f>
        <v>Ознакомиться</v>
      </c>
      <c r="W145" s="8" t="s">
        <v>298</v>
      </c>
      <c r="X145" s="6"/>
      <c r="Y145" s="6"/>
      <c r="Z145" s="6"/>
      <c r="AA145" s="6" t="s">
        <v>273</v>
      </c>
    </row>
    <row r="146" spans="1:27" s="4" customFormat="1" ht="42" customHeight="1">
      <c r="A146" s="5">
        <v>0</v>
      </c>
      <c r="B146" s="6" t="s">
        <v>991</v>
      </c>
      <c r="C146" s="7">
        <v>1194</v>
      </c>
      <c r="D146" s="8" t="s">
        <v>992</v>
      </c>
      <c r="E146" s="8" t="s">
        <v>993</v>
      </c>
      <c r="F146" s="8" t="s">
        <v>823</v>
      </c>
      <c r="G146" s="6" t="s">
        <v>37</v>
      </c>
      <c r="H146" s="6" t="s">
        <v>38</v>
      </c>
      <c r="I146" s="8" t="s">
        <v>73</v>
      </c>
      <c r="J146" s="9">
        <v>1</v>
      </c>
      <c r="K146" s="9">
        <v>263</v>
      </c>
      <c r="L146" s="9">
        <v>2023</v>
      </c>
      <c r="M146" s="8" t="s">
        <v>994</v>
      </c>
      <c r="N146" s="8" t="s">
        <v>41</v>
      </c>
      <c r="O146" s="8" t="s">
        <v>42</v>
      </c>
      <c r="P146" s="6" t="s">
        <v>75</v>
      </c>
      <c r="Q146" s="8" t="s">
        <v>76</v>
      </c>
      <c r="R146" s="10" t="s">
        <v>77</v>
      </c>
      <c r="S146" s="11"/>
      <c r="T146" s="6"/>
      <c r="U146" s="27" t="str">
        <f>HYPERLINK("https://media.infra-m.ru/2021/2021470/cover/2021470.jpg", "Обложка")</f>
        <v>Обложка</v>
      </c>
      <c r="V146" s="27" t="str">
        <f>HYPERLINK("https://znanium.com/catalog/product/972318", "Ознакомиться")</f>
        <v>Ознакомиться</v>
      </c>
      <c r="W146" s="8" t="s">
        <v>298</v>
      </c>
      <c r="X146" s="6"/>
      <c r="Y146" s="6"/>
      <c r="Z146" s="6"/>
      <c r="AA146" s="6" t="s">
        <v>86</v>
      </c>
    </row>
    <row r="147" spans="1:27" s="4" customFormat="1" ht="51.95" customHeight="1">
      <c r="A147" s="5">
        <v>0</v>
      </c>
      <c r="B147" s="6" t="s">
        <v>995</v>
      </c>
      <c r="C147" s="7">
        <v>1480</v>
      </c>
      <c r="D147" s="8" t="s">
        <v>996</v>
      </c>
      <c r="E147" s="8" t="s">
        <v>997</v>
      </c>
      <c r="F147" s="8" t="s">
        <v>998</v>
      </c>
      <c r="G147" s="6" t="s">
        <v>111</v>
      </c>
      <c r="H147" s="6" t="s">
        <v>38</v>
      </c>
      <c r="I147" s="8" t="s">
        <v>112</v>
      </c>
      <c r="J147" s="9">
        <v>1</v>
      </c>
      <c r="K147" s="9">
        <v>328</v>
      </c>
      <c r="L147" s="9">
        <v>2023</v>
      </c>
      <c r="M147" s="8" t="s">
        <v>999</v>
      </c>
      <c r="N147" s="8" t="s">
        <v>41</v>
      </c>
      <c r="O147" s="8" t="s">
        <v>42</v>
      </c>
      <c r="P147" s="6" t="s">
        <v>103</v>
      </c>
      <c r="Q147" s="8" t="s">
        <v>114</v>
      </c>
      <c r="R147" s="10" t="s">
        <v>1000</v>
      </c>
      <c r="S147" s="11" t="s">
        <v>1001</v>
      </c>
      <c r="T147" s="6" t="s">
        <v>235</v>
      </c>
      <c r="U147" s="27" t="str">
        <f>HYPERLINK("https://media.infra-m.ru/1843/1843023/cover/1843023.jpg", "Обложка")</f>
        <v>Обложка</v>
      </c>
      <c r="V147" s="27" t="str">
        <f>HYPERLINK("https://znanium.com/catalog/product/1843023", "Ознакомиться")</f>
        <v>Ознакомиться</v>
      </c>
      <c r="W147" s="8" t="s">
        <v>1002</v>
      </c>
      <c r="X147" s="6"/>
      <c r="Y147" s="6"/>
      <c r="Z147" s="6"/>
      <c r="AA147" s="6" t="s">
        <v>451</v>
      </c>
    </row>
    <row r="148" spans="1:27" s="4" customFormat="1" ht="51.95" customHeight="1">
      <c r="A148" s="5">
        <v>0</v>
      </c>
      <c r="B148" s="6" t="s">
        <v>1003</v>
      </c>
      <c r="C148" s="7">
        <v>2874.9</v>
      </c>
      <c r="D148" s="8" t="s">
        <v>1004</v>
      </c>
      <c r="E148" s="8" t="s">
        <v>1005</v>
      </c>
      <c r="F148" s="8" t="s">
        <v>1006</v>
      </c>
      <c r="G148" s="6" t="s">
        <v>111</v>
      </c>
      <c r="H148" s="6" t="s">
        <v>38</v>
      </c>
      <c r="I148" s="8" t="s">
        <v>156</v>
      </c>
      <c r="J148" s="9">
        <v>1</v>
      </c>
      <c r="K148" s="9">
        <v>639</v>
      </c>
      <c r="L148" s="9">
        <v>2023</v>
      </c>
      <c r="M148" s="8" t="s">
        <v>1007</v>
      </c>
      <c r="N148" s="8" t="s">
        <v>41</v>
      </c>
      <c r="O148" s="8" t="s">
        <v>42</v>
      </c>
      <c r="P148" s="6" t="s">
        <v>103</v>
      </c>
      <c r="Q148" s="8" t="s">
        <v>123</v>
      </c>
      <c r="R148" s="10" t="s">
        <v>1008</v>
      </c>
      <c r="S148" s="11" t="s">
        <v>1009</v>
      </c>
      <c r="T148" s="6" t="s">
        <v>235</v>
      </c>
      <c r="U148" s="27" t="str">
        <f>HYPERLINK("https://media.infra-m.ru/1916/1916073/cover/1916073.jpg", "Обложка")</f>
        <v>Обложка</v>
      </c>
      <c r="V148" s="27" t="str">
        <f>HYPERLINK("https://znanium.com/catalog/product/1912988", "Ознакомиться")</f>
        <v>Ознакомиться</v>
      </c>
      <c r="W148" s="8" t="s">
        <v>626</v>
      </c>
      <c r="X148" s="6"/>
      <c r="Y148" s="6"/>
      <c r="Z148" s="6"/>
      <c r="AA148" s="6" t="s">
        <v>107</v>
      </c>
    </row>
    <row r="149" spans="1:27" s="4" customFormat="1" ht="51.95" customHeight="1">
      <c r="A149" s="5">
        <v>0</v>
      </c>
      <c r="B149" s="6" t="s">
        <v>1010</v>
      </c>
      <c r="C149" s="7">
        <v>2260</v>
      </c>
      <c r="D149" s="8" t="s">
        <v>1011</v>
      </c>
      <c r="E149" s="8" t="s">
        <v>1012</v>
      </c>
      <c r="F149" s="8" t="s">
        <v>1013</v>
      </c>
      <c r="G149" s="6" t="s">
        <v>111</v>
      </c>
      <c r="H149" s="6" t="s">
        <v>38</v>
      </c>
      <c r="I149" s="8" t="s">
        <v>156</v>
      </c>
      <c r="J149" s="9">
        <v>1</v>
      </c>
      <c r="K149" s="9">
        <v>844</v>
      </c>
      <c r="L149" s="9">
        <v>2023</v>
      </c>
      <c r="M149" s="8" t="s">
        <v>1014</v>
      </c>
      <c r="N149" s="8" t="s">
        <v>41</v>
      </c>
      <c r="O149" s="8" t="s">
        <v>42</v>
      </c>
      <c r="P149" s="6" t="s">
        <v>103</v>
      </c>
      <c r="Q149" s="8" t="s">
        <v>123</v>
      </c>
      <c r="R149" s="10" t="s">
        <v>1015</v>
      </c>
      <c r="S149" s="11"/>
      <c r="T149" s="6" t="s">
        <v>235</v>
      </c>
      <c r="U149" s="27" t="str">
        <f>HYPERLINK("https://media.infra-m.ru/2024/2024038/cover/2024038.jpg", "Обложка")</f>
        <v>Обложка</v>
      </c>
      <c r="V149" s="27" t="str">
        <f>HYPERLINK("https://znanium.com/catalog/product/2024038", "Ознакомиться")</f>
        <v>Ознакомиться</v>
      </c>
      <c r="W149" s="8" t="s">
        <v>918</v>
      </c>
      <c r="X149" s="6"/>
      <c r="Y149" s="6"/>
      <c r="Z149" s="6"/>
      <c r="AA149" s="6" t="s">
        <v>273</v>
      </c>
    </row>
    <row r="150" spans="1:27" s="4" customFormat="1" ht="44.1" customHeight="1">
      <c r="A150" s="5">
        <v>0</v>
      </c>
      <c r="B150" s="6" t="s">
        <v>1016</v>
      </c>
      <c r="C150" s="7">
        <v>1034.9000000000001</v>
      </c>
      <c r="D150" s="8" t="s">
        <v>1017</v>
      </c>
      <c r="E150" s="8" t="s">
        <v>1018</v>
      </c>
      <c r="F150" s="8" t="s">
        <v>1019</v>
      </c>
      <c r="G150" s="6" t="s">
        <v>37</v>
      </c>
      <c r="H150" s="6" t="s">
        <v>38</v>
      </c>
      <c r="I150" s="8" t="s">
        <v>73</v>
      </c>
      <c r="J150" s="9">
        <v>1</v>
      </c>
      <c r="K150" s="9">
        <v>230</v>
      </c>
      <c r="L150" s="9">
        <v>2023</v>
      </c>
      <c r="M150" s="8" t="s">
        <v>1020</v>
      </c>
      <c r="N150" s="8" t="s">
        <v>41</v>
      </c>
      <c r="O150" s="8" t="s">
        <v>42</v>
      </c>
      <c r="P150" s="6" t="s">
        <v>75</v>
      </c>
      <c r="Q150" s="8" t="s">
        <v>76</v>
      </c>
      <c r="R150" s="10" t="s">
        <v>1021</v>
      </c>
      <c r="S150" s="11"/>
      <c r="T150" s="6"/>
      <c r="U150" s="27" t="str">
        <f>HYPERLINK("https://media.infra-m.ru/1976/1976152/cover/1976152.jpg", "Обложка")</f>
        <v>Обложка</v>
      </c>
      <c r="V150" s="27" t="str">
        <f>HYPERLINK("https://znanium.com/catalog/product/1020785", "Ознакомиться")</f>
        <v>Ознакомиться</v>
      </c>
      <c r="W150" s="8" t="s">
        <v>85</v>
      </c>
      <c r="X150" s="6"/>
      <c r="Y150" s="6"/>
      <c r="Z150" s="6"/>
      <c r="AA150" s="6" t="s">
        <v>273</v>
      </c>
    </row>
    <row r="151" spans="1:27" s="4" customFormat="1" ht="51.95" customHeight="1">
      <c r="A151" s="5">
        <v>0</v>
      </c>
      <c r="B151" s="6" t="s">
        <v>1022</v>
      </c>
      <c r="C151" s="13">
        <v>990</v>
      </c>
      <c r="D151" s="8" t="s">
        <v>1023</v>
      </c>
      <c r="E151" s="8" t="s">
        <v>1024</v>
      </c>
      <c r="F151" s="8" t="s">
        <v>1025</v>
      </c>
      <c r="G151" s="6" t="s">
        <v>111</v>
      </c>
      <c r="H151" s="6" t="s">
        <v>38</v>
      </c>
      <c r="I151" s="8" t="s">
        <v>156</v>
      </c>
      <c r="J151" s="9">
        <v>1</v>
      </c>
      <c r="K151" s="9">
        <v>219</v>
      </c>
      <c r="L151" s="9">
        <v>2023</v>
      </c>
      <c r="M151" s="8" t="s">
        <v>1026</v>
      </c>
      <c r="N151" s="8" t="s">
        <v>923</v>
      </c>
      <c r="O151" s="8" t="s">
        <v>924</v>
      </c>
      <c r="P151" s="6" t="s">
        <v>43</v>
      </c>
      <c r="Q151" s="8" t="s">
        <v>123</v>
      </c>
      <c r="R151" s="10" t="s">
        <v>1027</v>
      </c>
      <c r="S151" s="11" t="s">
        <v>1028</v>
      </c>
      <c r="T151" s="6" t="s">
        <v>235</v>
      </c>
      <c r="U151" s="27" t="str">
        <f>HYPERLINK("https://media.infra-m.ru/1988/1988443/cover/1988443.jpg", "Обложка")</f>
        <v>Обложка</v>
      </c>
      <c r="V151" s="27" t="str">
        <f>HYPERLINK("https://znanium.com/catalog/product/1988443", "Ознакомиться")</f>
        <v>Ознакомиться</v>
      </c>
      <c r="W151" s="8" t="s">
        <v>1029</v>
      </c>
      <c r="X151" s="6"/>
      <c r="Y151" s="6"/>
      <c r="Z151" s="6"/>
      <c r="AA151" s="6" t="s">
        <v>451</v>
      </c>
    </row>
    <row r="152" spans="1:27" s="4" customFormat="1" ht="44.1" customHeight="1">
      <c r="A152" s="5">
        <v>0</v>
      </c>
      <c r="B152" s="6" t="s">
        <v>1030</v>
      </c>
      <c r="C152" s="7">
        <v>2754.9</v>
      </c>
      <c r="D152" s="8" t="s">
        <v>1031</v>
      </c>
      <c r="E152" s="8" t="s">
        <v>1032</v>
      </c>
      <c r="F152" s="8" t="s">
        <v>1033</v>
      </c>
      <c r="G152" s="6" t="s">
        <v>111</v>
      </c>
      <c r="H152" s="6" t="s">
        <v>38</v>
      </c>
      <c r="I152" s="8" t="s">
        <v>156</v>
      </c>
      <c r="J152" s="9">
        <v>1</v>
      </c>
      <c r="K152" s="9">
        <v>1088</v>
      </c>
      <c r="L152" s="9">
        <v>2021</v>
      </c>
      <c r="M152" s="8" t="s">
        <v>1034</v>
      </c>
      <c r="N152" s="8" t="s">
        <v>41</v>
      </c>
      <c r="O152" s="8" t="s">
        <v>42</v>
      </c>
      <c r="P152" s="6" t="s">
        <v>1035</v>
      </c>
      <c r="Q152" s="8" t="s">
        <v>123</v>
      </c>
      <c r="R152" s="10" t="s">
        <v>1036</v>
      </c>
      <c r="S152" s="11"/>
      <c r="T152" s="6"/>
      <c r="U152" s="27" t="str">
        <f>HYPERLINK("https://media.infra-m.ru/2048/2048086/cover/2048086.jpg", "Обложка")</f>
        <v>Обложка</v>
      </c>
      <c r="V152" s="27" t="str">
        <f>HYPERLINK("https://znanium.com/catalog/product/1226994", "Ознакомиться")</f>
        <v>Ознакомиться</v>
      </c>
      <c r="W152" s="8" t="s">
        <v>1037</v>
      </c>
      <c r="X152" s="6"/>
      <c r="Y152" s="6"/>
      <c r="Z152" s="6"/>
      <c r="AA152" s="6" t="s">
        <v>273</v>
      </c>
    </row>
    <row r="153" spans="1:27" s="4" customFormat="1" ht="51.95" customHeight="1">
      <c r="A153" s="5">
        <v>0</v>
      </c>
      <c r="B153" s="6" t="s">
        <v>1038</v>
      </c>
      <c r="C153" s="7">
        <v>1700</v>
      </c>
      <c r="D153" s="8" t="s">
        <v>1039</v>
      </c>
      <c r="E153" s="8" t="s">
        <v>1040</v>
      </c>
      <c r="F153" s="8" t="s">
        <v>589</v>
      </c>
      <c r="G153" s="6" t="s">
        <v>111</v>
      </c>
      <c r="H153" s="6" t="s">
        <v>286</v>
      </c>
      <c r="I153" s="8" t="s">
        <v>590</v>
      </c>
      <c r="J153" s="9">
        <v>1</v>
      </c>
      <c r="K153" s="9">
        <v>288</v>
      </c>
      <c r="L153" s="9">
        <v>2023</v>
      </c>
      <c r="M153" s="8" t="s">
        <v>1041</v>
      </c>
      <c r="N153" s="8" t="s">
        <v>41</v>
      </c>
      <c r="O153" s="8" t="s">
        <v>42</v>
      </c>
      <c r="P153" s="6" t="s">
        <v>43</v>
      </c>
      <c r="Q153" s="8" t="s">
        <v>114</v>
      </c>
      <c r="R153" s="10" t="s">
        <v>1042</v>
      </c>
      <c r="S153" s="11" t="s">
        <v>592</v>
      </c>
      <c r="T153" s="6"/>
      <c r="U153" s="27" t="str">
        <f>HYPERLINK("https://media.infra-m.ru/1999/1999791/cover/1999791.jpg", "Обложка")</f>
        <v>Обложка</v>
      </c>
      <c r="V153" s="27" t="str">
        <f>HYPERLINK("https://znanium.com/catalog/product/1999791", "Ознакомиться")</f>
        <v>Ознакомиться</v>
      </c>
      <c r="W153" s="8" t="s">
        <v>85</v>
      </c>
      <c r="X153" s="6"/>
      <c r="Y153" s="6"/>
      <c r="Z153" s="6"/>
      <c r="AA153" s="6" t="s">
        <v>221</v>
      </c>
    </row>
    <row r="154" spans="1:27" s="4" customFormat="1" ht="51.95" customHeight="1">
      <c r="A154" s="5">
        <v>0</v>
      </c>
      <c r="B154" s="6" t="s">
        <v>1043</v>
      </c>
      <c r="C154" s="7">
        <v>2991</v>
      </c>
      <c r="D154" s="8" t="s">
        <v>1044</v>
      </c>
      <c r="E154" s="8" t="s">
        <v>1045</v>
      </c>
      <c r="F154" s="8" t="s">
        <v>1046</v>
      </c>
      <c r="G154" s="6" t="s">
        <v>37</v>
      </c>
      <c r="H154" s="6" t="s">
        <v>38</v>
      </c>
      <c r="I154" s="8" t="s">
        <v>73</v>
      </c>
      <c r="J154" s="9">
        <v>1</v>
      </c>
      <c r="K154" s="9">
        <v>299</v>
      </c>
      <c r="L154" s="9">
        <v>2023</v>
      </c>
      <c r="M154" s="8" t="s">
        <v>1047</v>
      </c>
      <c r="N154" s="8" t="s">
        <v>41</v>
      </c>
      <c r="O154" s="8" t="s">
        <v>42</v>
      </c>
      <c r="P154" s="6" t="s">
        <v>75</v>
      </c>
      <c r="Q154" s="8" t="s">
        <v>76</v>
      </c>
      <c r="R154" s="10" t="s">
        <v>1048</v>
      </c>
      <c r="S154" s="11"/>
      <c r="T154" s="6"/>
      <c r="U154" s="27" t="str">
        <f>HYPERLINK("https://media.infra-m.ru/1938/1938064/cover/1938064.jpg", "Обложка")</f>
        <v>Обложка</v>
      </c>
      <c r="V154" s="27" t="str">
        <f>HYPERLINK("https://znanium.com/catalog/product/1938064", "Ознакомиться")</f>
        <v>Ознакомиться</v>
      </c>
      <c r="W154" s="8" t="s">
        <v>1049</v>
      </c>
      <c r="X154" s="6" t="s">
        <v>819</v>
      </c>
      <c r="Y154" s="6"/>
      <c r="Z154" s="6"/>
      <c r="AA154" s="6" t="s">
        <v>48</v>
      </c>
    </row>
    <row r="155" spans="1:27" s="4" customFormat="1" ht="51.95" customHeight="1">
      <c r="A155" s="5">
        <v>0</v>
      </c>
      <c r="B155" s="6" t="s">
        <v>1050</v>
      </c>
      <c r="C155" s="7">
        <v>2794.9</v>
      </c>
      <c r="D155" s="8" t="s">
        <v>1051</v>
      </c>
      <c r="E155" s="8" t="s">
        <v>1052</v>
      </c>
      <c r="F155" s="8" t="s">
        <v>1053</v>
      </c>
      <c r="G155" s="6" t="s">
        <v>111</v>
      </c>
      <c r="H155" s="6" t="s">
        <v>286</v>
      </c>
      <c r="I155" s="8" t="s">
        <v>156</v>
      </c>
      <c r="J155" s="9">
        <v>1</v>
      </c>
      <c r="K155" s="9">
        <v>623</v>
      </c>
      <c r="L155" s="9">
        <v>2023</v>
      </c>
      <c r="M155" s="8" t="s">
        <v>1054</v>
      </c>
      <c r="N155" s="8" t="s">
        <v>41</v>
      </c>
      <c r="O155" s="8" t="s">
        <v>42</v>
      </c>
      <c r="P155" s="6" t="s">
        <v>830</v>
      </c>
      <c r="Q155" s="8" t="s">
        <v>123</v>
      </c>
      <c r="R155" s="10" t="s">
        <v>77</v>
      </c>
      <c r="S155" s="11" t="s">
        <v>1055</v>
      </c>
      <c r="T155" s="6"/>
      <c r="U155" s="27" t="str">
        <f>HYPERLINK("https://media.infra-m.ru/1916/1916059/cover/1916059.jpg", "Обложка")</f>
        <v>Обложка</v>
      </c>
      <c r="V155" s="27" t="str">
        <f>HYPERLINK("https://znanium.com/catalog/product/1912989", "Ознакомиться")</f>
        <v>Ознакомиться</v>
      </c>
      <c r="W155" s="8" t="s">
        <v>85</v>
      </c>
      <c r="X155" s="6"/>
      <c r="Y155" s="6"/>
      <c r="Z155" s="6"/>
      <c r="AA155" s="6" t="s">
        <v>451</v>
      </c>
    </row>
    <row r="156" spans="1:27" s="4" customFormat="1" ht="51.95" customHeight="1">
      <c r="A156" s="5">
        <v>0</v>
      </c>
      <c r="B156" s="6" t="s">
        <v>1056</v>
      </c>
      <c r="C156" s="7">
        <v>2694</v>
      </c>
      <c r="D156" s="8" t="s">
        <v>1057</v>
      </c>
      <c r="E156" s="8" t="s">
        <v>1058</v>
      </c>
      <c r="F156" s="8" t="s">
        <v>1053</v>
      </c>
      <c r="G156" s="6" t="s">
        <v>37</v>
      </c>
      <c r="H156" s="6" t="s">
        <v>286</v>
      </c>
      <c r="I156" s="8" t="s">
        <v>156</v>
      </c>
      <c r="J156" s="9">
        <v>1</v>
      </c>
      <c r="K156" s="9">
        <v>628</v>
      </c>
      <c r="L156" s="9">
        <v>2023</v>
      </c>
      <c r="M156" s="8" t="s">
        <v>1059</v>
      </c>
      <c r="N156" s="8" t="s">
        <v>41</v>
      </c>
      <c r="O156" s="8" t="s">
        <v>42</v>
      </c>
      <c r="P156" s="6" t="s">
        <v>830</v>
      </c>
      <c r="Q156" s="8" t="s">
        <v>123</v>
      </c>
      <c r="R156" s="10" t="s">
        <v>77</v>
      </c>
      <c r="S156" s="11" t="s">
        <v>1060</v>
      </c>
      <c r="T156" s="6"/>
      <c r="U156" s="27" t="str">
        <f>HYPERLINK("https://media.infra-m.ru/2006/2006087/cover/2006087.jpg", "Обложка")</f>
        <v>Обложка</v>
      </c>
      <c r="V156" s="27" t="str">
        <f>HYPERLINK("https://znanium.com/catalog/product/1071991", "Ознакомиться")</f>
        <v>Ознакомиться</v>
      </c>
      <c r="W156" s="8" t="s">
        <v>85</v>
      </c>
      <c r="X156" s="6"/>
      <c r="Y156" s="6"/>
      <c r="Z156" s="6"/>
      <c r="AA156" s="6" t="s">
        <v>78</v>
      </c>
    </row>
    <row r="157" spans="1:27" s="4" customFormat="1" ht="42" customHeight="1">
      <c r="A157" s="5">
        <v>0</v>
      </c>
      <c r="B157" s="6" t="s">
        <v>1061</v>
      </c>
      <c r="C157" s="7">
        <v>1014</v>
      </c>
      <c r="D157" s="8" t="s">
        <v>1062</v>
      </c>
      <c r="E157" s="8" t="s">
        <v>1063</v>
      </c>
      <c r="F157" s="8" t="s">
        <v>1064</v>
      </c>
      <c r="G157" s="6" t="s">
        <v>37</v>
      </c>
      <c r="H157" s="6" t="s">
        <v>217</v>
      </c>
      <c r="I157" s="8" t="s">
        <v>101</v>
      </c>
      <c r="J157" s="9">
        <v>1</v>
      </c>
      <c r="K157" s="9">
        <v>224</v>
      </c>
      <c r="L157" s="9">
        <v>2023</v>
      </c>
      <c r="M157" s="8" t="s">
        <v>1065</v>
      </c>
      <c r="N157" s="8" t="s">
        <v>41</v>
      </c>
      <c r="O157" s="8" t="s">
        <v>1066</v>
      </c>
      <c r="P157" s="6" t="s">
        <v>103</v>
      </c>
      <c r="Q157" s="8" t="s">
        <v>92</v>
      </c>
      <c r="R157" s="10" t="s">
        <v>1067</v>
      </c>
      <c r="S157" s="11"/>
      <c r="T157" s="6"/>
      <c r="U157" s="27" t="str">
        <f>HYPERLINK("https://media.infra-m.ru/1862/1862058/cover/1862058.jpg", "Обложка")</f>
        <v>Обложка</v>
      </c>
      <c r="V157" s="27" t="str">
        <f>HYPERLINK("https://znanium.com/catalog/product/553607", "Ознакомиться")</f>
        <v>Ознакомиться</v>
      </c>
      <c r="W157" s="8" t="s">
        <v>1068</v>
      </c>
      <c r="X157" s="6"/>
      <c r="Y157" s="6"/>
      <c r="Z157" s="6"/>
      <c r="AA157" s="6" t="s">
        <v>78</v>
      </c>
    </row>
    <row r="158" spans="1:27" s="4" customFormat="1" ht="51.95" customHeight="1">
      <c r="A158" s="5">
        <v>0</v>
      </c>
      <c r="B158" s="6" t="s">
        <v>1069</v>
      </c>
      <c r="C158" s="13">
        <v>504.9</v>
      </c>
      <c r="D158" s="8" t="s">
        <v>1070</v>
      </c>
      <c r="E158" s="8" t="s">
        <v>1071</v>
      </c>
      <c r="F158" s="8" t="s">
        <v>1072</v>
      </c>
      <c r="G158" s="6" t="s">
        <v>53</v>
      </c>
      <c r="H158" s="6" t="s">
        <v>38</v>
      </c>
      <c r="I158" s="8" t="s">
        <v>101</v>
      </c>
      <c r="J158" s="9">
        <v>1</v>
      </c>
      <c r="K158" s="9">
        <v>112</v>
      </c>
      <c r="L158" s="9">
        <v>2023</v>
      </c>
      <c r="M158" s="8" t="s">
        <v>1073</v>
      </c>
      <c r="N158" s="8" t="s">
        <v>41</v>
      </c>
      <c r="O158" s="8" t="s">
        <v>1066</v>
      </c>
      <c r="P158" s="6" t="s">
        <v>43</v>
      </c>
      <c r="Q158" s="8" t="s">
        <v>92</v>
      </c>
      <c r="R158" s="10" t="s">
        <v>1074</v>
      </c>
      <c r="S158" s="11" t="s">
        <v>1075</v>
      </c>
      <c r="T158" s="6"/>
      <c r="U158" s="27" t="str">
        <f>HYPERLINK("https://media.infra-m.ru/1981/1981682/cover/1981682.jpg", "Обложка")</f>
        <v>Обложка</v>
      </c>
      <c r="V158" s="27" t="str">
        <f>HYPERLINK("https://znanium.com/catalog/product/960039", "Ознакомиться")</f>
        <v>Ознакомиться</v>
      </c>
      <c r="W158" s="8" t="s">
        <v>1076</v>
      </c>
      <c r="X158" s="6"/>
      <c r="Y158" s="6"/>
      <c r="Z158" s="6"/>
      <c r="AA158" s="6" t="s">
        <v>60</v>
      </c>
    </row>
    <row r="159" spans="1:27" s="4" customFormat="1" ht="42" customHeight="1">
      <c r="A159" s="5">
        <v>0</v>
      </c>
      <c r="B159" s="6" t="s">
        <v>1077</v>
      </c>
      <c r="C159" s="7">
        <v>1150</v>
      </c>
      <c r="D159" s="8" t="s">
        <v>1078</v>
      </c>
      <c r="E159" s="8" t="s">
        <v>1079</v>
      </c>
      <c r="F159" s="8" t="s">
        <v>1080</v>
      </c>
      <c r="G159" s="6" t="s">
        <v>111</v>
      </c>
      <c r="H159" s="6" t="s">
        <v>38</v>
      </c>
      <c r="I159" s="8" t="s">
        <v>1081</v>
      </c>
      <c r="J159" s="9">
        <v>1</v>
      </c>
      <c r="K159" s="9">
        <v>233</v>
      </c>
      <c r="L159" s="9">
        <v>2024</v>
      </c>
      <c r="M159" s="8" t="s">
        <v>1082</v>
      </c>
      <c r="N159" s="8" t="s">
        <v>41</v>
      </c>
      <c r="O159" s="8" t="s">
        <v>42</v>
      </c>
      <c r="P159" s="6" t="s">
        <v>103</v>
      </c>
      <c r="Q159" s="8" t="s">
        <v>1083</v>
      </c>
      <c r="R159" s="10" t="s">
        <v>1084</v>
      </c>
      <c r="S159" s="11"/>
      <c r="T159" s="6"/>
      <c r="U159" s="27" t="str">
        <f>HYPERLINK("https://media.infra-m.ru/2079/2079286/cover/2079286.jpg", "Обложка")</f>
        <v>Обложка</v>
      </c>
      <c r="V159" s="27" t="str">
        <f>HYPERLINK("https://znanium.com/catalog/product/2079286", "Ознакомиться")</f>
        <v>Ознакомиться</v>
      </c>
      <c r="W159" s="8" t="s">
        <v>1085</v>
      </c>
      <c r="X159" s="6"/>
      <c r="Y159" s="6"/>
      <c r="Z159" s="6"/>
      <c r="AA159" s="6" t="s">
        <v>48</v>
      </c>
    </row>
    <row r="160" spans="1:27" s="4" customFormat="1" ht="51.95" customHeight="1">
      <c r="A160" s="5">
        <v>0</v>
      </c>
      <c r="B160" s="6" t="s">
        <v>1086</v>
      </c>
      <c r="C160" s="13">
        <v>804</v>
      </c>
      <c r="D160" s="8" t="s">
        <v>1087</v>
      </c>
      <c r="E160" s="8" t="s">
        <v>1088</v>
      </c>
      <c r="F160" s="8" t="s">
        <v>1089</v>
      </c>
      <c r="G160" s="6" t="s">
        <v>53</v>
      </c>
      <c r="H160" s="6" t="s">
        <v>286</v>
      </c>
      <c r="I160" s="8"/>
      <c r="J160" s="9">
        <v>1</v>
      </c>
      <c r="K160" s="9">
        <v>176</v>
      </c>
      <c r="L160" s="9">
        <v>2024</v>
      </c>
      <c r="M160" s="8" t="s">
        <v>1090</v>
      </c>
      <c r="N160" s="8" t="s">
        <v>923</v>
      </c>
      <c r="O160" s="8" t="s">
        <v>924</v>
      </c>
      <c r="P160" s="6" t="s">
        <v>75</v>
      </c>
      <c r="Q160" s="8" t="s">
        <v>76</v>
      </c>
      <c r="R160" s="10" t="s">
        <v>1091</v>
      </c>
      <c r="S160" s="11"/>
      <c r="T160" s="6"/>
      <c r="U160" s="27" t="str">
        <f>HYPERLINK("https://media.infra-m.ru/2102/2102669/cover/2102669.jpg", "Обложка")</f>
        <v>Обложка</v>
      </c>
      <c r="V160" s="12"/>
      <c r="W160" s="8" t="s">
        <v>1092</v>
      </c>
      <c r="X160" s="6"/>
      <c r="Y160" s="6"/>
      <c r="Z160" s="6"/>
      <c r="AA160" s="6" t="s">
        <v>319</v>
      </c>
    </row>
    <row r="161" spans="1:27" s="4" customFormat="1" ht="51.95" customHeight="1">
      <c r="A161" s="5">
        <v>0</v>
      </c>
      <c r="B161" s="6" t="s">
        <v>1093</v>
      </c>
      <c r="C161" s="7">
        <v>1164.9000000000001</v>
      </c>
      <c r="D161" s="8" t="s">
        <v>1094</v>
      </c>
      <c r="E161" s="8" t="s">
        <v>1095</v>
      </c>
      <c r="F161" s="8" t="s">
        <v>1096</v>
      </c>
      <c r="G161" s="6" t="s">
        <v>37</v>
      </c>
      <c r="H161" s="6" t="s">
        <v>38</v>
      </c>
      <c r="I161" s="8" t="s">
        <v>101</v>
      </c>
      <c r="J161" s="9">
        <v>1</v>
      </c>
      <c r="K161" s="9">
        <v>259</v>
      </c>
      <c r="L161" s="9">
        <v>2023</v>
      </c>
      <c r="M161" s="8" t="s">
        <v>1097</v>
      </c>
      <c r="N161" s="8" t="s">
        <v>41</v>
      </c>
      <c r="O161" s="8" t="s">
        <v>42</v>
      </c>
      <c r="P161" s="6" t="s">
        <v>43</v>
      </c>
      <c r="Q161" s="8" t="s">
        <v>92</v>
      </c>
      <c r="R161" s="10" t="s">
        <v>1098</v>
      </c>
      <c r="S161" s="11"/>
      <c r="T161" s="6"/>
      <c r="U161" s="27" t="str">
        <f>HYPERLINK("https://media.infra-m.ru/1981/1981665/cover/1981665.jpg", "Обложка")</f>
        <v>Обложка</v>
      </c>
      <c r="V161" s="27" t="str">
        <f>HYPERLINK("https://znanium.com/catalog/product/960050", "Ознакомиться")</f>
        <v>Ознакомиться</v>
      </c>
      <c r="W161" s="8" t="s">
        <v>1099</v>
      </c>
      <c r="X161" s="6"/>
      <c r="Y161" s="6"/>
      <c r="Z161" s="6"/>
      <c r="AA161" s="6" t="s">
        <v>60</v>
      </c>
    </row>
    <row r="162" spans="1:27" s="4" customFormat="1" ht="51.95" customHeight="1">
      <c r="A162" s="5">
        <v>0</v>
      </c>
      <c r="B162" s="6" t="s">
        <v>1100</v>
      </c>
      <c r="C162" s="13">
        <v>924</v>
      </c>
      <c r="D162" s="8" t="s">
        <v>1101</v>
      </c>
      <c r="E162" s="8" t="s">
        <v>1102</v>
      </c>
      <c r="F162" s="8" t="s">
        <v>1103</v>
      </c>
      <c r="G162" s="6" t="s">
        <v>53</v>
      </c>
      <c r="H162" s="6" t="s">
        <v>38</v>
      </c>
      <c r="I162" s="8" t="s">
        <v>73</v>
      </c>
      <c r="J162" s="9">
        <v>1</v>
      </c>
      <c r="K162" s="9">
        <v>199</v>
      </c>
      <c r="L162" s="9">
        <v>2024</v>
      </c>
      <c r="M162" s="8" t="s">
        <v>1104</v>
      </c>
      <c r="N162" s="8" t="s">
        <v>41</v>
      </c>
      <c r="O162" s="8" t="s">
        <v>42</v>
      </c>
      <c r="P162" s="6" t="s">
        <v>75</v>
      </c>
      <c r="Q162" s="8" t="s">
        <v>76</v>
      </c>
      <c r="R162" s="10" t="s">
        <v>1105</v>
      </c>
      <c r="S162" s="11"/>
      <c r="T162" s="6"/>
      <c r="U162" s="27" t="str">
        <f>HYPERLINK("https://media.infra-m.ru/2118/2118166/cover/2118166.jpg", "Обложка")</f>
        <v>Обложка</v>
      </c>
      <c r="V162" s="27" t="str">
        <f>HYPERLINK("https://znanium.com/catalog/product/1863093", "Ознакомиться")</f>
        <v>Ознакомиться</v>
      </c>
      <c r="W162" s="8" t="s">
        <v>633</v>
      </c>
      <c r="X162" s="6"/>
      <c r="Y162" s="6"/>
      <c r="Z162" s="6"/>
      <c r="AA162" s="6" t="s">
        <v>151</v>
      </c>
    </row>
    <row r="163" spans="1:27" s="4" customFormat="1" ht="51.95" customHeight="1">
      <c r="A163" s="5">
        <v>0</v>
      </c>
      <c r="B163" s="6" t="s">
        <v>1106</v>
      </c>
      <c r="C163" s="7">
        <v>1984.9</v>
      </c>
      <c r="D163" s="8" t="s">
        <v>1107</v>
      </c>
      <c r="E163" s="8" t="s">
        <v>1108</v>
      </c>
      <c r="F163" s="8" t="s">
        <v>1109</v>
      </c>
      <c r="G163" s="6" t="s">
        <v>111</v>
      </c>
      <c r="H163" s="6" t="s">
        <v>38</v>
      </c>
      <c r="I163" s="8" t="s">
        <v>101</v>
      </c>
      <c r="J163" s="9">
        <v>1</v>
      </c>
      <c r="K163" s="9">
        <v>433</v>
      </c>
      <c r="L163" s="9">
        <v>2023</v>
      </c>
      <c r="M163" s="8" t="s">
        <v>1110</v>
      </c>
      <c r="N163" s="8" t="s">
        <v>41</v>
      </c>
      <c r="O163" s="8" t="s">
        <v>42</v>
      </c>
      <c r="P163" s="6" t="s">
        <v>103</v>
      </c>
      <c r="Q163" s="8" t="s">
        <v>92</v>
      </c>
      <c r="R163" s="10" t="s">
        <v>1111</v>
      </c>
      <c r="S163" s="11" t="s">
        <v>1112</v>
      </c>
      <c r="T163" s="6"/>
      <c r="U163" s="27" t="str">
        <f>HYPERLINK("https://media.infra-m.ru/1933/1933182/cover/1933182.jpg", "Обложка")</f>
        <v>Обложка</v>
      </c>
      <c r="V163" s="27" t="str">
        <f>HYPERLINK("https://znanium.com/catalog/product/1911112", "Ознакомиться")</f>
        <v>Ознакомиться</v>
      </c>
      <c r="W163" s="8" t="s">
        <v>1113</v>
      </c>
      <c r="X163" s="6"/>
      <c r="Y163" s="6"/>
      <c r="Z163" s="6"/>
      <c r="AA163" s="6" t="s">
        <v>221</v>
      </c>
    </row>
    <row r="164" spans="1:27" s="4" customFormat="1" ht="51.95" customHeight="1">
      <c r="A164" s="5">
        <v>0</v>
      </c>
      <c r="B164" s="6" t="s">
        <v>1114</v>
      </c>
      <c r="C164" s="7">
        <v>1750</v>
      </c>
      <c r="D164" s="8" t="s">
        <v>1115</v>
      </c>
      <c r="E164" s="8" t="s">
        <v>1108</v>
      </c>
      <c r="F164" s="8" t="s">
        <v>1116</v>
      </c>
      <c r="G164" s="6" t="s">
        <v>111</v>
      </c>
      <c r="H164" s="6" t="s">
        <v>38</v>
      </c>
      <c r="I164" s="8" t="s">
        <v>39</v>
      </c>
      <c r="J164" s="9">
        <v>1</v>
      </c>
      <c r="K164" s="9">
        <v>382</v>
      </c>
      <c r="L164" s="9">
        <v>2023</v>
      </c>
      <c r="M164" s="8" t="s">
        <v>1117</v>
      </c>
      <c r="N164" s="8" t="s">
        <v>41</v>
      </c>
      <c r="O164" s="8" t="s">
        <v>42</v>
      </c>
      <c r="P164" s="6" t="s">
        <v>43</v>
      </c>
      <c r="Q164" s="8" t="s">
        <v>44</v>
      </c>
      <c r="R164" s="10" t="s">
        <v>1118</v>
      </c>
      <c r="S164" s="11" t="s">
        <v>1119</v>
      </c>
      <c r="T164" s="6"/>
      <c r="U164" s="27" t="str">
        <f>HYPERLINK("https://media.infra-m.ru/2031/2031694/cover/2031694.jpg", "Обложка")</f>
        <v>Обложка</v>
      </c>
      <c r="V164" s="27" t="str">
        <f>HYPERLINK("https://znanium.com/catalog/product/1906710", "Ознакомиться")</f>
        <v>Ознакомиться</v>
      </c>
      <c r="W164" s="8" t="s">
        <v>1120</v>
      </c>
      <c r="X164" s="6"/>
      <c r="Y164" s="6" t="s">
        <v>30</v>
      </c>
      <c r="Z164" s="6"/>
      <c r="AA164" s="6" t="s">
        <v>96</v>
      </c>
    </row>
    <row r="165" spans="1:27" s="4" customFormat="1" ht="42" customHeight="1">
      <c r="A165" s="5">
        <v>0</v>
      </c>
      <c r="B165" s="6" t="s">
        <v>1121</v>
      </c>
      <c r="C165" s="13">
        <v>670</v>
      </c>
      <c r="D165" s="8" t="s">
        <v>1122</v>
      </c>
      <c r="E165" s="8" t="s">
        <v>1123</v>
      </c>
      <c r="F165" s="8" t="s">
        <v>1124</v>
      </c>
      <c r="G165" s="6" t="s">
        <v>53</v>
      </c>
      <c r="H165" s="6" t="s">
        <v>38</v>
      </c>
      <c r="I165" s="8" t="s">
        <v>579</v>
      </c>
      <c r="J165" s="9">
        <v>1</v>
      </c>
      <c r="K165" s="9">
        <v>139</v>
      </c>
      <c r="L165" s="9">
        <v>2022</v>
      </c>
      <c r="M165" s="8" t="s">
        <v>1125</v>
      </c>
      <c r="N165" s="8" t="s">
        <v>41</v>
      </c>
      <c r="O165" s="8" t="s">
        <v>42</v>
      </c>
      <c r="P165" s="6" t="s">
        <v>75</v>
      </c>
      <c r="Q165" s="8" t="s">
        <v>76</v>
      </c>
      <c r="R165" s="10" t="s">
        <v>1126</v>
      </c>
      <c r="S165" s="11"/>
      <c r="T165" s="6"/>
      <c r="U165" s="27" t="str">
        <f>HYPERLINK("https://media.infra-m.ru/1860/1860851/cover/1860851.jpg", "Обложка")</f>
        <v>Обложка</v>
      </c>
      <c r="V165" s="27" t="str">
        <f>HYPERLINK("https://znanium.com/catalog/product/1860851", "Ознакомиться")</f>
        <v>Ознакомиться</v>
      </c>
      <c r="W165" s="8" t="s">
        <v>46</v>
      </c>
      <c r="X165" s="6"/>
      <c r="Y165" s="6"/>
      <c r="Z165" s="6"/>
      <c r="AA165" s="6" t="s">
        <v>86</v>
      </c>
    </row>
    <row r="166" spans="1:27" s="4" customFormat="1" ht="42" customHeight="1">
      <c r="A166" s="5">
        <v>0</v>
      </c>
      <c r="B166" s="6" t="s">
        <v>1127</v>
      </c>
      <c r="C166" s="13">
        <v>500</v>
      </c>
      <c r="D166" s="8" t="s">
        <v>1128</v>
      </c>
      <c r="E166" s="8" t="s">
        <v>1129</v>
      </c>
      <c r="F166" s="8" t="s">
        <v>1130</v>
      </c>
      <c r="G166" s="6" t="s">
        <v>53</v>
      </c>
      <c r="H166" s="6" t="s">
        <v>226</v>
      </c>
      <c r="I166" s="8" t="s">
        <v>227</v>
      </c>
      <c r="J166" s="9">
        <v>1</v>
      </c>
      <c r="K166" s="9">
        <v>98</v>
      </c>
      <c r="L166" s="9">
        <v>2023</v>
      </c>
      <c r="M166" s="8" t="s">
        <v>1131</v>
      </c>
      <c r="N166" s="8" t="s">
        <v>41</v>
      </c>
      <c r="O166" s="8" t="s">
        <v>42</v>
      </c>
      <c r="P166" s="6" t="s">
        <v>75</v>
      </c>
      <c r="Q166" s="8" t="s">
        <v>1083</v>
      </c>
      <c r="R166" s="10" t="s">
        <v>604</v>
      </c>
      <c r="S166" s="11"/>
      <c r="T166" s="6"/>
      <c r="U166" s="27" t="str">
        <f>HYPERLINK("https://media.infra-m.ru/1920/1920317/cover/1920317.jpg", "Обложка")</f>
        <v>Обложка</v>
      </c>
      <c r="V166" s="27" t="str">
        <f>HYPERLINK("https://znanium.com/catalog/product/1920317", "Ознакомиться")</f>
        <v>Ознакомиться</v>
      </c>
      <c r="W166" s="8" t="s">
        <v>142</v>
      </c>
      <c r="X166" s="6"/>
      <c r="Y166" s="6"/>
      <c r="Z166" s="6"/>
      <c r="AA166" s="6" t="s">
        <v>107</v>
      </c>
    </row>
    <row r="167" spans="1:27" s="4" customFormat="1" ht="51.95" customHeight="1">
      <c r="A167" s="5">
        <v>0</v>
      </c>
      <c r="B167" s="6" t="s">
        <v>1132</v>
      </c>
      <c r="C167" s="7">
        <v>1010</v>
      </c>
      <c r="D167" s="8" t="s">
        <v>1133</v>
      </c>
      <c r="E167" s="8" t="s">
        <v>1134</v>
      </c>
      <c r="F167" s="8" t="s">
        <v>1135</v>
      </c>
      <c r="G167" s="6" t="s">
        <v>53</v>
      </c>
      <c r="H167" s="6" t="s">
        <v>38</v>
      </c>
      <c r="I167" s="8" t="s">
        <v>73</v>
      </c>
      <c r="J167" s="9">
        <v>1</v>
      </c>
      <c r="K167" s="9">
        <v>235</v>
      </c>
      <c r="L167" s="9">
        <v>2022</v>
      </c>
      <c r="M167" s="8" t="s">
        <v>1136</v>
      </c>
      <c r="N167" s="8" t="s">
        <v>41</v>
      </c>
      <c r="O167" s="8" t="s">
        <v>42</v>
      </c>
      <c r="P167" s="6" t="s">
        <v>75</v>
      </c>
      <c r="Q167" s="8" t="s">
        <v>76</v>
      </c>
      <c r="R167" s="10" t="s">
        <v>1137</v>
      </c>
      <c r="S167" s="11"/>
      <c r="T167" s="6"/>
      <c r="U167" s="27" t="str">
        <f>HYPERLINK("https://media.infra-m.ru/1863/1863105/cover/1863105.jpg", "Обложка")</f>
        <v>Обложка</v>
      </c>
      <c r="V167" s="27" t="str">
        <f>HYPERLINK("https://znanium.com/catalog/product/1863105", "Ознакомиться")</f>
        <v>Ознакомиться</v>
      </c>
      <c r="W167" s="8" t="s">
        <v>879</v>
      </c>
      <c r="X167" s="6"/>
      <c r="Y167" s="6"/>
      <c r="Z167" s="6"/>
      <c r="AA167" s="6" t="s">
        <v>151</v>
      </c>
    </row>
    <row r="168" spans="1:27" s="4" customFormat="1" ht="51.95" customHeight="1">
      <c r="A168" s="5">
        <v>0</v>
      </c>
      <c r="B168" s="6" t="s">
        <v>1138</v>
      </c>
      <c r="C168" s="7">
        <v>1154.9000000000001</v>
      </c>
      <c r="D168" s="8" t="s">
        <v>1139</v>
      </c>
      <c r="E168" s="8" t="s">
        <v>1140</v>
      </c>
      <c r="F168" s="8" t="s">
        <v>476</v>
      </c>
      <c r="G168" s="6" t="s">
        <v>37</v>
      </c>
      <c r="H168" s="6" t="s">
        <v>226</v>
      </c>
      <c r="I168" s="8"/>
      <c r="J168" s="9">
        <v>1</v>
      </c>
      <c r="K168" s="9">
        <v>252</v>
      </c>
      <c r="L168" s="9">
        <v>2023</v>
      </c>
      <c r="M168" s="8" t="s">
        <v>1141</v>
      </c>
      <c r="N168" s="8" t="s">
        <v>41</v>
      </c>
      <c r="O168" s="8" t="s">
        <v>42</v>
      </c>
      <c r="P168" s="6" t="s">
        <v>75</v>
      </c>
      <c r="Q168" s="8" t="s">
        <v>92</v>
      </c>
      <c r="R168" s="10" t="s">
        <v>1142</v>
      </c>
      <c r="S168" s="11" t="s">
        <v>1143</v>
      </c>
      <c r="T168" s="6"/>
      <c r="U168" s="27" t="str">
        <f>HYPERLINK("https://media.infra-m.ru/1901/1901548/cover/1901548.jpg", "Обложка")</f>
        <v>Обложка</v>
      </c>
      <c r="V168" s="27" t="str">
        <f>HYPERLINK("https://znanium.com/catalog/product/1002371", "Ознакомиться")</f>
        <v>Ознакомиться</v>
      </c>
      <c r="W168" s="8" t="s">
        <v>142</v>
      </c>
      <c r="X168" s="6"/>
      <c r="Y168" s="6"/>
      <c r="Z168" s="6"/>
      <c r="AA168" s="6" t="s">
        <v>319</v>
      </c>
    </row>
    <row r="169" spans="1:27" s="4" customFormat="1" ht="51.95" customHeight="1">
      <c r="A169" s="5">
        <v>0</v>
      </c>
      <c r="B169" s="6" t="s">
        <v>1144</v>
      </c>
      <c r="C169" s="13">
        <v>654</v>
      </c>
      <c r="D169" s="8" t="s">
        <v>1145</v>
      </c>
      <c r="E169" s="8" t="s">
        <v>1146</v>
      </c>
      <c r="F169" s="8" t="s">
        <v>476</v>
      </c>
      <c r="G169" s="6" t="s">
        <v>53</v>
      </c>
      <c r="H169" s="6" t="s">
        <v>38</v>
      </c>
      <c r="I169" s="8" t="s">
        <v>54</v>
      </c>
      <c r="J169" s="9">
        <v>1</v>
      </c>
      <c r="K169" s="9">
        <v>142</v>
      </c>
      <c r="L169" s="9">
        <v>2024</v>
      </c>
      <c r="M169" s="8" t="s">
        <v>1147</v>
      </c>
      <c r="N169" s="8" t="s">
        <v>41</v>
      </c>
      <c r="O169" s="8" t="s">
        <v>42</v>
      </c>
      <c r="P169" s="6" t="s">
        <v>56</v>
      </c>
      <c r="Q169" s="8" t="s">
        <v>890</v>
      </c>
      <c r="R169" s="10" t="s">
        <v>857</v>
      </c>
      <c r="S169" s="11"/>
      <c r="T169" s="6"/>
      <c r="U169" s="27" t="str">
        <f>HYPERLINK("https://media.infra-m.ru/2081/2081766/cover/2081766.jpg", "Обложка")</f>
        <v>Обложка</v>
      </c>
      <c r="V169" s="27" t="str">
        <f>HYPERLINK("https://znanium.com/catalog/product/1841749", "Ознакомиться")</f>
        <v>Ознакомиться</v>
      </c>
      <c r="W169" s="8" t="s">
        <v>142</v>
      </c>
      <c r="X169" s="6"/>
      <c r="Y169" s="6"/>
      <c r="Z169" s="6"/>
      <c r="AA169" s="6" t="s">
        <v>60</v>
      </c>
    </row>
    <row r="170" spans="1:27" s="4" customFormat="1" ht="44.1" customHeight="1">
      <c r="A170" s="5">
        <v>0</v>
      </c>
      <c r="B170" s="6" t="s">
        <v>1148</v>
      </c>
      <c r="C170" s="13">
        <v>790</v>
      </c>
      <c r="D170" s="8" t="s">
        <v>1149</v>
      </c>
      <c r="E170" s="8" t="s">
        <v>1150</v>
      </c>
      <c r="F170" s="8" t="s">
        <v>1151</v>
      </c>
      <c r="G170" s="6" t="s">
        <v>53</v>
      </c>
      <c r="H170" s="6" t="s">
        <v>38</v>
      </c>
      <c r="I170" s="8" t="s">
        <v>73</v>
      </c>
      <c r="J170" s="9">
        <v>1</v>
      </c>
      <c r="K170" s="9">
        <v>174</v>
      </c>
      <c r="L170" s="9">
        <v>2023</v>
      </c>
      <c r="M170" s="8" t="s">
        <v>1152</v>
      </c>
      <c r="N170" s="8" t="s">
        <v>41</v>
      </c>
      <c r="O170" s="8" t="s">
        <v>42</v>
      </c>
      <c r="P170" s="6" t="s">
        <v>75</v>
      </c>
      <c r="Q170" s="8" t="s">
        <v>76</v>
      </c>
      <c r="R170" s="10" t="s">
        <v>885</v>
      </c>
      <c r="S170" s="11"/>
      <c r="T170" s="6"/>
      <c r="U170" s="27" t="str">
        <f>HYPERLINK("https://media.infra-m.ru/2038/2038326/cover/2038326.jpg", "Обложка")</f>
        <v>Обложка</v>
      </c>
      <c r="V170" s="27" t="str">
        <f>HYPERLINK("https://znanium.com/catalog/product/2038326", "Ознакомиться")</f>
        <v>Ознакомиться</v>
      </c>
      <c r="W170" s="8" t="s">
        <v>142</v>
      </c>
      <c r="X170" s="6"/>
      <c r="Y170" s="6"/>
      <c r="Z170" s="6"/>
      <c r="AA170" s="6" t="s">
        <v>143</v>
      </c>
    </row>
    <row r="171" spans="1:27" s="4" customFormat="1" ht="51.95" customHeight="1">
      <c r="A171" s="5">
        <v>0</v>
      </c>
      <c r="B171" s="6" t="s">
        <v>1153</v>
      </c>
      <c r="C171" s="13">
        <v>504.9</v>
      </c>
      <c r="D171" s="8" t="s">
        <v>1154</v>
      </c>
      <c r="E171" s="8" t="s">
        <v>1155</v>
      </c>
      <c r="F171" s="8" t="s">
        <v>476</v>
      </c>
      <c r="G171" s="6" t="s">
        <v>53</v>
      </c>
      <c r="H171" s="6" t="s">
        <v>38</v>
      </c>
      <c r="I171" s="8" t="s">
        <v>39</v>
      </c>
      <c r="J171" s="9">
        <v>1</v>
      </c>
      <c r="K171" s="9">
        <v>112</v>
      </c>
      <c r="L171" s="9">
        <v>2023</v>
      </c>
      <c r="M171" s="8" t="s">
        <v>1156</v>
      </c>
      <c r="N171" s="8" t="s">
        <v>41</v>
      </c>
      <c r="O171" s="8" t="s">
        <v>42</v>
      </c>
      <c r="P171" s="6" t="s">
        <v>43</v>
      </c>
      <c r="Q171" s="8" t="s">
        <v>123</v>
      </c>
      <c r="R171" s="10" t="s">
        <v>1157</v>
      </c>
      <c r="S171" s="11" t="s">
        <v>1158</v>
      </c>
      <c r="T171" s="6"/>
      <c r="U171" s="27" t="str">
        <f>HYPERLINK("https://media.infra-m.ru/1898/1898774/cover/1898774.jpg", "Обложка")</f>
        <v>Обложка</v>
      </c>
      <c r="V171" s="27" t="str">
        <f>HYPERLINK("https://znanium.com/catalog/product/1841413", "Ознакомиться")</f>
        <v>Ознакомиться</v>
      </c>
      <c r="W171" s="8" t="s">
        <v>142</v>
      </c>
      <c r="X171" s="6"/>
      <c r="Y171" s="6"/>
      <c r="Z171" s="6"/>
      <c r="AA171" s="6" t="s">
        <v>96</v>
      </c>
    </row>
    <row r="172" spans="1:27" s="4" customFormat="1" ht="42" customHeight="1">
      <c r="A172" s="5">
        <v>0</v>
      </c>
      <c r="B172" s="6" t="s">
        <v>1159</v>
      </c>
      <c r="C172" s="13">
        <v>680</v>
      </c>
      <c r="D172" s="8" t="s">
        <v>1160</v>
      </c>
      <c r="E172" s="8" t="s">
        <v>1161</v>
      </c>
      <c r="F172" s="8" t="s">
        <v>1162</v>
      </c>
      <c r="G172" s="6" t="s">
        <v>111</v>
      </c>
      <c r="H172" s="6" t="s">
        <v>38</v>
      </c>
      <c r="I172" s="8" t="s">
        <v>156</v>
      </c>
      <c r="J172" s="9">
        <v>1</v>
      </c>
      <c r="K172" s="9">
        <v>147</v>
      </c>
      <c r="L172" s="9">
        <v>2022</v>
      </c>
      <c r="M172" s="8" t="s">
        <v>1163</v>
      </c>
      <c r="N172" s="8" t="s">
        <v>41</v>
      </c>
      <c r="O172" s="8" t="s">
        <v>42</v>
      </c>
      <c r="P172" s="6" t="s">
        <v>43</v>
      </c>
      <c r="Q172" s="8" t="s">
        <v>123</v>
      </c>
      <c r="R172" s="10" t="s">
        <v>417</v>
      </c>
      <c r="S172" s="11"/>
      <c r="T172" s="6" t="s">
        <v>235</v>
      </c>
      <c r="U172" s="27" t="str">
        <f>HYPERLINK("https://media.infra-m.ru/1841/1841411/cover/1841411.jpg", "Обложка")</f>
        <v>Обложка</v>
      </c>
      <c r="V172" s="27" t="str">
        <f>HYPERLINK("https://znanium.com/catalog/product/1841411", "Ознакомиться")</f>
        <v>Ознакомиться</v>
      </c>
      <c r="W172" s="8" t="s">
        <v>142</v>
      </c>
      <c r="X172" s="6"/>
      <c r="Y172" s="6"/>
      <c r="Z172" s="6"/>
      <c r="AA172" s="6" t="s">
        <v>86</v>
      </c>
    </row>
    <row r="173" spans="1:27" s="4" customFormat="1" ht="51.95" customHeight="1">
      <c r="A173" s="5">
        <v>0</v>
      </c>
      <c r="B173" s="6" t="s">
        <v>1164</v>
      </c>
      <c r="C173" s="7">
        <v>1230</v>
      </c>
      <c r="D173" s="8" t="s">
        <v>1165</v>
      </c>
      <c r="E173" s="8" t="s">
        <v>1166</v>
      </c>
      <c r="F173" s="8" t="s">
        <v>1167</v>
      </c>
      <c r="G173" s="6" t="s">
        <v>111</v>
      </c>
      <c r="H173" s="6" t="s">
        <v>38</v>
      </c>
      <c r="I173" s="8" t="s">
        <v>156</v>
      </c>
      <c r="J173" s="9">
        <v>1</v>
      </c>
      <c r="K173" s="9">
        <v>273</v>
      </c>
      <c r="L173" s="9">
        <v>2023</v>
      </c>
      <c r="M173" s="8" t="s">
        <v>1168</v>
      </c>
      <c r="N173" s="8" t="s">
        <v>923</v>
      </c>
      <c r="O173" s="8" t="s">
        <v>924</v>
      </c>
      <c r="P173" s="6" t="s">
        <v>43</v>
      </c>
      <c r="Q173" s="8" t="s">
        <v>123</v>
      </c>
      <c r="R173" s="10" t="s">
        <v>1169</v>
      </c>
      <c r="S173" s="11" t="s">
        <v>1170</v>
      </c>
      <c r="T173" s="6"/>
      <c r="U173" s="27" t="str">
        <f>HYPERLINK("https://media.infra-m.ru/1911/1911115/cover/1911115.jpg", "Обложка")</f>
        <v>Обложка</v>
      </c>
      <c r="V173" s="27" t="str">
        <f>HYPERLINK("https://znanium.com/catalog/product/1911115", "Ознакомиться")</f>
        <v>Ознакомиться</v>
      </c>
      <c r="W173" s="8" t="s">
        <v>1171</v>
      </c>
      <c r="X173" s="6"/>
      <c r="Y173" s="6"/>
      <c r="Z173" s="6"/>
      <c r="AA173" s="6" t="s">
        <v>764</v>
      </c>
    </row>
    <row r="174" spans="1:27" s="4" customFormat="1" ht="51.95" customHeight="1">
      <c r="A174" s="5">
        <v>0</v>
      </c>
      <c r="B174" s="6" t="s">
        <v>1172</v>
      </c>
      <c r="C174" s="7">
        <v>1080</v>
      </c>
      <c r="D174" s="8" t="s">
        <v>1173</v>
      </c>
      <c r="E174" s="8" t="s">
        <v>1174</v>
      </c>
      <c r="F174" s="8" t="s">
        <v>1175</v>
      </c>
      <c r="G174" s="6" t="s">
        <v>53</v>
      </c>
      <c r="H174" s="6" t="s">
        <v>286</v>
      </c>
      <c r="I174" s="8" t="s">
        <v>39</v>
      </c>
      <c r="J174" s="9">
        <v>1</v>
      </c>
      <c r="K174" s="9">
        <v>240</v>
      </c>
      <c r="L174" s="9">
        <v>2023</v>
      </c>
      <c r="M174" s="8" t="s">
        <v>1176</v>
      </c>
      <c r="N174" s="8" t="s">
        <v>923</v>
      </c>
      <c r="O174" s="8" t="s">
        <v>924</v>
      </c>
      <c r="P174" s="6" t="s">
        <v>43</v>
      </c>
      <c r="Q174" s="8" t="s">
        <v>44</v>
      </c>
      <c r="R174" s="10" t="s">
        <v>1177</v>
      </c>
      <c r="S174" s="11" t="s">
        <v>1178</v>
      </c>
      <c r="T174" s="6"/>
      <c r="U174" s="27" t="str">
        <f>HYPERLINK("https://media.infra-m.ru/2000/2000786/cover/2000786.jpg", "Обложка")</f>
        <v>Обложка</v>
      </c>
      <c r="V174" s="27" t="str">
        <f>HYPERLINK("https://znanium.com/catalog/product/2000786", "Ознакомиться")</f>
        <v>Ознакомиться</v>
      </c>
      <c r="W174" s="8" t="s">
        <v>1179</v>
      </c>
      <c r="X174" s="6"/>
      <c r="Y174" s="6"/>
      <c r="Z174" s="6"/>
      <c r="AA174" s="6" t="s">
        <v>107</v>
      </c>
    </row>
    <row r="175" spans="1:27" s="4" customFormat="1" ht="42" customHeight="1">
      <c r="A175" s="5">
        <v>0</v>
      </c>
      <c r="B175" s="6" t="s">
        <v>1180</v>
      </c>
      <c r="C175" s="13">
        <v>500</v>
      </c>
      <c r="D175" s="8" t="s">
        <v>1181</v>
      </c>
      <c r="E175" s="8" t="s">
        <v>1182</v>
      </c>
      <c r="F175" s="8" t="s">
        <v>1183</v>
      </c>
      <c r="G175" s="6" t="s">
        <v>53</v>
      </c>
      <c r="H175" s="6" t="s">
        <v>38</v>
      </c>
      <c r="I175" s="8" t="s">
        <v>73</v>
      </c>
      <c r="J175" s="9">
        <v>1</v>
      </c>
      <c r="K175" s="9">
        <v>112</v>
      </c>
      <c r="L175" s="9">
        <v>2023</v>
      </c>
      <c r="M175" s="8" t="s">
        <v>1184</v>
      </c>
      <c r="N175" s="8" t="s">
        <v>41</v>
      </c>
      <c r="O175" s="8" t="s">
        <v>42</v>
      </c>
      <c r="P175" s="6" t="s">
        <v>75</v>
      </c>
      <c r="Q175" s="8" t="s">
        <v>76</v>
      </c>
      <c r="R175" s="10" t="s">
        <v>77</v>
      </c>
      <c r="S175" s="11"/>
      <c r="T175" s="6"/>
      <c r="U175" s="27" t="str">
        <f>HYPERLINK("https://media.infra-m.ru/1938/1938009/cover/1938009.jpg", "Обложка")</f>
        <v>Обложка</v>
      </c>
      <c r="V175" s="27" t="str">
        <f>HYPERLINK("https://znanium.com/catalog/product/1938009", "Ознакомиться")</f>
        <v>Ознакомиться</v>
      </c>
      <c r="W175" s="8" t="s">
        <v>371</v>
      </c>
      <c r="X175" s="6"/>
      <c r="Y175" s="6"/>
      <c r="Z175" s="6"/>
      <c r="AA175" s="6" t="s">
        <v>60</v>
      </c>
    </row>
    <row r="176" spans="1:27" s="4" customFormat="1" ht="51.95" customHeight="1">
      <c r="A176" s="5">
        <v>0</v>
      </c>
      <c r="B176" s="6" t="s">
        <v>1185</v>
      </c>
      <c r="C176" s="13">
        <v>550</v>
      </c>
      <c r="D176" s="8" t="s">
        <v>1186</v>
      </c>
      <c r="E176" s="8" t="s">
        <v>1187</v>
      </c>
      <c r="F176" s="8" t="s">
        <v>1188</v>
      </c>
      <c r="G176" s="6" t="s">
        <v>53</v>
      </c>
      <c r="H176" s="6" t="s">
        <v>38</v>
      </c>
      <c r="I176" s="8" t="s">
        <v>39</v>
      </c>
      <c r="J176" s="9">
        <v>1</v>
      </c>
      <c r="K176" s="9">
        <v>112</v>
      </c>
      <c r="L176" s="9">
        <v>2024</v>
      </c>
      <c r="M176" s="8" t="s">
        <v>1189</v>
      </c>
      <c r="N176" s="8" t="s">
        <v>41</v>
      </c>
      <c r="O176" s="8" t="s">
        <v>42</v>
      </c>
      <c r="P176" s="6" t="s">
        <v>43</v>
      </c>
      <c r="Q176" s="8" t="s">
        <v>92</v>
      </c>
      <c r="R176" s="10" t="s">
        <v>1190</v>
      </c>
      <c r="S176" s="11" t="s">
        <v>1191</v>
      </c>
      <c r="T176" s="6"/>
      <c r="U176" s="27" t="str">
        <f>HYPERLINK("https://media.infra-m.ru/2083/2083336/cover/2083336.jpg", "Обложка")</f>
        <v>Обложка</v>
      </c>
      <c r="V176" s="27" t="str">
        <f>HYPERLINK("https://znanium.com/catalog/product/2083336", "Ознакомиться")</f>
        <v>Ознакомиться</v>
      </c>
      <c r="W176" s="8" t="s">
        <v>472</v>
      </c>
      <c r="X176" s="6"/>
      <c r="Y176" s="6"/>
      <c r="Z176" s="6"/>
      <c r="AA176" s="6" t="s">
        <v>60</v>
      </c>
    </row>
    <row r="177" spans="1:27" s="4" customFormat="1" ht="42" customHeight="1">
      <c r="A177" s="5">
        <v>0</v>
      </c>
      <c r="B177" s="6" t="s">
        <v>1192</v>
      </c>
      <c r="C177" s="13">
        <v>944</v>
      </c>
      <c r="D177" s="8" t="s">
        <v>1193</v>
      </c>
      <c r="E177" s="8" t="s">
        <v>1194</v>
      </c>
      <c r="F177" s="8" t="s">
        <v>1195</v>
      </c>
      <c r="G177" s="6" t="s">
        <v>53</v>
      </c>
      <c r="H177" s="6" t="s">
        <v>38</v>
      </c>
      <c r="I177" s="8" t="s">
        <v>73</v>
      </c>
      <c r="J177" s="9">
        <v>1</v>
      </c>
      <c r="K177" s="9">
        <v>194</v>
      </c>
      <c r="L177" s="9">
        <v>2023</v>
      </c>
      <c r="M177" s="8" t="s">
        <v>1196</v>
      </c>
      <c r="N177" s="8" t="s">
        <v>41</v>
      </c>
      <c r="O177" s="8" t="s">
        <v>42</v>
      </c>
      <c r="P177" s="6" t="s">
        <v>75</v>
      </c>
      <c r="Q177" s="8" t="s">
        <v>76</v>
      </c>
      <c r="R177" s="10" t="s">
        <v>77</v>
      </c>
      <c r="S177" s="11"/>
      <c r="T177" s="6"/>
      <c r="U177" s="27" t="str">
        <f>HYPERLINK("https://media.infra-m.ru/2045/2045965/cover/2045965.jpg", "Обложка")</f>
        <v>Обложка</v>
      </c>
      <c r="V177" s="27" t="str">
        <f>HYPERLINK("https://znanium.com/catalog/product/1042292", "Ознакомиться")</f>
        <v>Ознакомиться</v>
      </c>
      <c r="W177" s="8" t="s">
        <v>1197</v>
      </c>
      <c r="X177" s="6"/>
      <c r="Y177" s="6"/>
      <c r="Z177" s="6"/>
      <c r="AA177" s="6" t="s">
        <v>273</v>
      </c>
    </row>
    <row r="178" spans="1:27" s="4" customFormat="1" ht="51.95" customHeight="1">
      <c r="A178" s="5">
        <v>0</v>
      </c>
      <c r="B178" s="6" t="s">
        <v>1198</v>
      </c>
      <c r="C178" s="13">
        <v>990</v>
      </c>
      <c r="D178" s="8" t="s">
        <v>1199</v>
      </c>
      <c r="E178" s="8" t="s">
        <v>1200</v>
      </c>
      <c r="F178" s="8" t="s">
        <v>1201</v>
      </c>
      <c r="G178" s="6" t="s">
        <v>111</v>
      </c>
      <c r="H178" s="6" t="s">
        <v>38</v>
      </c>
      <c r="I178" s="8" t="s">
        <v>347</v>
      </c>
      <c r="J178" s="9">
        <v>1</v>
      </c>
      <c r="K178" s="9">
        <v>199</v>
      </c>
      <c r="L178" s="9">
        <v>2022</v>
      </c>
      <c r="M178" s="8" t="s">
        <v>1202</v>
      </c>
      <c r="N178" s="8" t="s">
        <v>41</v>
      </c>
      <c r="O178" s="8" t="s">
        <v>42</v>
      </c>
      <c r="P178" s="6" t="s">
        <v>43</v>
      </c>
      <c r="Q178" s="8" t="s">
        <v>123</v>
      </c>
      <c r="R178" s="10" t="s">
        <v>1203</v>
      </c>
      <c r="S178" s="11" t="s">
        <v>1204</v>
      </c>
      <c r="T178" s="6"/>
      <c r="U178" s="27" t="str">
        <f>HYPERLINK("https://media.infra-m.ru/1843/1843556/cover/1843556.jpg", "Обложка")</f>
        <v>Обложка</v>
      </c>
      <c r="V178" s="27" t="str">
        <f>HYPERLINK("https://znanium.com/catalog/product/1843556", "Ознакомиться")</f>
        <v>Ознакомиться</v>
      </c>
      <c r="W178" s="8" t="s">
        <v>46</v>
      </c>
      <c r="X178" s="6"/>
      <c r="Y178" s="6"/>
      <c r="Z178" s="6"/>
      <c r="AA178" s="6" t="s">
        <v>86</v>
      </c>
    </row>
    <row r="179" spans="1:27" s="4" customFormat="1" ht="51.95" customHeight="1">
      <c r="A179" s="5">
        <v>0</v>
      </c>
      <c r="B179" s="6" t="s">
        <v>1205</v>
      </c>
      <c r="C179" s="7">
        <v>1094.9000000000001</v>
      </c>
      <c r="D179" s="8" t="s">
        <v>1206</v>
      </c>
      <c r="E179" s="8" t="s">
        <v>1207</v>
      </c>
      <c r="F179" s="8" t="s">
        <v>1208</v>
      </c>
      <c r="G179" s="6" t="s">
        <v>53</v>
      </c>
      <c r="H179" s="6" t="s">
        <v>286</v>
      </c>
      <c r="I179" s="8" t="s">
        <v>39</v>
      </c>
      <c r="J179" s="9">
        <v>1</v>
      </c>
      <c r="K179" s="9">
        <v>336</v>
      </c>
      <c r="L179" s="9">
        <v>2019</v>
      </c>
      <c r="M179" s="8" t="s">
        <v>1209</v>
      </c>
      <c r="N179" s="8" t="s">
        <v>41</v>
      </c>
      <c r="O179" s="8" t="s">
        <v>42</v>
      </c>
      <c r="P179" s="6" t="s">
        <v>43</v>
      </c>
      <c r="Q179" s="8" t="s">
        <v>123</v>
      </c>
      <c r="R179" s="10" t="s">
        <v>341</v>
      </c>
      <c r="S179" s="11" t="s">
        <v>1210</v>
      </c>
      <c r="T179" s="6"/>
      <c r="U179" s="27" t="str">
        <f>HYPERLINK("https://media.infra-m.ru/1007/1007834/cover/1007834.jpg", "Обложка")</f>
        <v>Обложка</v>
      </c>
      <c r="V179" s="27" t="str">
        <f>HYPERLINK("https://znanium.com/catalog/product/1969535", "Ознакомиться")</f>
        <v>Ознакомиться</v>
      </c>
      <c r="W179" s="8" t="s">
        <v>1179</v>
      </c>
      <c r="X179" s="6"/>
      <c r="Y179" s="6"/>
      <c r="Z179" s="6"/>
      <c r="AA179" s="6" t="s">
        <v>221</v>
      </c>
    </row>
    <row r="180" spans="1:27" s="4" customFormat="1" ht="51.95" customHeight="1">
      <c r="A180" s="5">
        <v>0</v>
      </c>
      <c r="B180" s="6" t="s">
        <v>1211</v>
      </c>
      <c r="C180" s="7">
        <v>1890</v>
      </c>
      <c r="D180" s="8" t="s">
        <v>1212</v>
      </c>
      <c r="E180" s="8" t="s">
        <v>1213</v>
      </c>
      <c r="F180" s="8" t="s">
        <v>1208</v>
      </c>
      <c r="G180" s="6" t="s">
        <v>111</v>
      </c>
      <c r="H180" s="6" t="s">
        <v>286</v>
      </c>
      <c r="I180" s="8" t="s">
        <v>156</v>
      </c>
      <c r="J180" s="9">
        <v>1</v>
      </c>
      <c r="K180" s="9">
        <v>420</v>
      </c>
      <c r="L180" s="9">
        <v>2023</v>
      </c>
      <c r="M180" s="8" t="s">
        <v>1214</v>
      </c>
      <c r="N180" s="8" t="s">
        <v>41</v>
      </c>
      <c r="O180" s="8" t="s">
        <v>42</v>
      </c>
      <c r="P180" s="6" t="s">
        <v>43</v>
      </c>
      <c r="Q180" s="8" t="s">
        <v>123</v>
      </c>
      <c r="R180" s="10" t="s">
        <v>341</v>
      </c>
      <c r="S180" s="11" t="s">
        <v>1215</v>
      </c>
      <c r="T180" s="6"/>
      <c r="U180" s="27" t="str">
        <f>HYPERLINK("https://media.infra-m.ru/1969/1969535/cover/1969535.jpg", "Обложка")</f>
        <v>Обложка</v>
      </c>
      <c r="V180" s="27" t="str">
        <f>HYPERLINK("https://znanium.com/catalog/product/1969535", "Ознакомиться")</f>
        <v>Ознакомиться</v>
      </c>
      <c r="W180" s="8" t="s">
        <v>1179</v>
      </c>
      <c r="X180" s="6"/>
      <c r="Y180" s="6"/>
      <c r="Z180" s="6"/>
      <c r="AA180" s="6" t="s">
        <v>1216</v>
      </c>
    </row>
    <row r="181" spans="1:27" s="4" customFormat="1" ht="51.95" customHeight="1">
      <c r="A181" s="5">
        <v>0</v>
      </c>
      <c r="B181" s="6" t="s">
        <v>1217</v>
      </c>
      <c r="C181" s="7">
        <v>1940</v>
      </c>
      <c r="D181" s="8" t="s">
        <v>1218</v>
      </c>
      <c r="E181" s="8" t="s">
        <v>1219</v>
      </c>
      <c r="F181" s="8" t="s">
        <v>589</v>
      </c>
      <c r="G181" s="6" t="s">
        <v>111</v>
      </c>
      <c r="H181" s="6" t="s">
        <v>286</v>
      </c>
      <c r="I181" s="8" t="s">
        <v>590</v>
      </c>
      <c r="J181" s="9">
        <v>1</v>
      </c>
      <c r="K181" s="9">
        <v>432</v>
      </c>
      <c r="L181" s="9">
        <v>2023</v>
      </c>
      <c r="M181" s="8" t="s">
        <v>1220</v>
      </c>
      <c r="N181" s="8" t="s">
        <v>41</v>
      </c>
      <c r="O181" s="8" t="s">
        <v>42</v>
      </c>
      <c r="P181" s="6" t="s">
        <v>43</v>
      </c>
      <c r="Q181" s="8" t="s">
        <v>114</v>
      </c>
      <c r="R181" s="10" t="s">
        <v>1221</v>
      </c>
      <c r="S181" s="11" t="s">
        <v>1222</v>
      </c>
      <c r="T181" s="6"/>
      <c r="U181" s="27" t="str">
        <f>HYPERLINK("https://media.infra-m.ru/1893/1893798/cover/1893798.jpg", "Обложка")</f>
        <v>Обложка</v>
      </c>
      <c r="V181" s="27" t="str">
        <f>HYPERLINK("https://znanium.com/catalog/product/1893798", "Ознакомиться")</f>
        <v>Ознакомиться</v>
      </c>
      <c r="W181" s="8" t="s">
        <v>85</v>
      </c>
      <c r="X181" s="6"/>
      <c r="Y181" s="6"/>
      <c r="Z181" s="6"/>
      <c r="AA181" s="6" t="s">
        <v>1223</v>
      </c>
    </row>
    <row r="182" spans="1:27" s="4" customFormat="1" ht="51.95" customHeight="1">
      <c r="A182" s="5">
        <v>0</v>
      </c>
      <c r="B182" s="6" t="s">
        <v>1224</v>
      </c>
      <c r="C182" s="7">
        <v>2294.9</v>
      </c>
      <c r="D182" s="8" t="s">
        <v>1225</v>
      </c>
      <c r="E182" s="8" t="s">
        <v>1226</v>
      </c>
      <c r="F182" s="8" t="s">
        <v>1227</v>
      </c>
      <c r="G182" s="6" t="s">
        <v>37</v>
      </c>
      <c r="H182" s="6" t="s">
        <v>286</v>
      </c>
      <c r="I182" s="8" t="s">
        <v>590</v>
      </c>
      <c r="J182" s="9">
        <v>1</v>
      </c>
      <c r="K182" s="9">
        <v>544</v>
      </c>
      <c r="L182" s="9">
        <v>2022</v>
      </c>
      <c r="M182" s="8" t="s">
        <v>1228</v>
      </c>
      <c r="N182" s="8" t="s">
        <v>41</v>
      </c>
      <c r="O182" s="8" t="s">
        <v>42</v>
      </c>
      <c r="P182" s="6" t="s">
        <v>43</v>
      </c>
      <c r="Q182" s="8" t="s">
        <v>114</v>
      </c>
      <c r="R182" s="10" t="s">
        <v>363</v>
      </c>
      <c r="S182" s="11" t="s">
        <v>1229</v>
      </c>
      <c r="T182" s="6"/>
      <c r="U182" s="27" t="str">
        <f>HYPERLINK("https://media.infra-m.ru/1897/1897672/cover/1897672.jpg", "Обложка")</f>
        <v>Обложка</v>
      </c>
      <c r="V182" s="27" t="str">
        <f>HYPERLINK("https://znanium.com/catalog/product/1063618", "Ознакомиться")</f>
        <v>Ознакомиться</v>
      </c>
      <c r="W182" s="8" t="s">
        <v>85</v>
      </c>
      <c r="X182" s="6"/>
      <c r="Y182" s="6"/>
      <c r="Z182" s="6"/>
      <c r="AA182" s="6" t="s">
        <v>1230</v>
      </c>
    </row>
    <row r="183" spans="1:27" s="4" customFormat="1" ht="51.95" customHeight="1">
      <c r="A183" s="5">
        <v>0</v>
      </c>
      <c r="B183" s="6" t="s">
        <v>1231</v>
      </c>
      <c r="C183" s="7">
        <v>1154.9000000000001</v>
      </c>
      <c r="D183" s="8" t="s">
        <v>1232</v>
      </c>
      <c r="E183" s="8" t="s">
        <v>1233</v>
      </c>
      <c r="F183" s="8" t="s">
        <v>1234</v>
      </c>
      <c r="G183" s="6" t="s">
        <v>37</v>
      </c>
      <c r="H183" s="6" t="s">
        <v>65</v>
      </c>
      <c r="I183" s="8" t="s">
        <v>44</v>
      </c>
      <c r="J183" s="9">
        <v>1</v>
      </c>
      <c r="K183" s="9">
        <v>256</v>
      </c>
      <c r="L183" s="9">
        <v>2023</v>
      </c>
      <c r="M183" s="8" t="s">
        <v>1235</v>
      </c>
      <c r="N183" s="8" t="s">
        <v>41</v>
      </c>
      <c r="O183" s="8" t="s">
        <v>42</v>
      </c>
      <c r="P183" s="6" t="s">
        <v>43</v>
      </c>
      <c r="Q183" s="8" t="s">
        <v>114</v>
      </c>
      <c r="R183" s="10" t="s">
        <v>1000</v>
      </c>
      <c r="S183" s="11" t="s">
        <v>1236</v>
      </c>
      <c r="T183" s="6"/>
      <c r="U183" s="27" t="str">
        <f>HYPERLINK("https://media.infra-m.ru/1844/1844299/cover/1844299.jpg", "Обложка")</f>
        <v>Обложка</v>
      </c>
      <c r="V183" s="27" t="str">
        <f>HYPERLINK("https://znanium.com/catalog/product/1058462", "Ознакомиться")</f>
        <v>Ознакомиться</v>
      </c>
      <c r="W183" s="8"/>
      <c r="X183" s="6"/>
      <c r="Y183" s="6"/>
      <c r="Z183" s="6"/>
      <c r="AA183" s="6" t="s">
        <v>96</v>
      </c>
    </row>
    <row r="184" spans="1:27" s="4" customFormat="1" ht="51.95" customHeight="1">
      <c r="A184" s="5">
        <v>0</v>
      </c>
      <c r="B184" s="6" t="s">
        <v>1237</v>
      </c>
      <c r="C184" s="7">
        <v>1544</v>
      </c>
      <c r="D184" s="8" t="s">
        <v>1238</v>
      </c>
      <c r="E184" s="8" t="s">
        <v>1239</v>
      </c>
      <c r="F184" s="8" t="s">
        <v>1240</v>
      </c>
      <c r="G184" s="6" t="s">
        <v>111</v>
      </c>
      <c r="H184" s="6" t="s">
        <v>286</v>
      </c>
      <c r="I184" s="8" t="s">
        <v>39</v>
      </c>
      <c r="J184" s="9">
        <v>1</v>
      </c>
      <c r="K184" s="9">
        <v>336</v>
      </c>
      <c r="L184" s="9">
        <v>2023</v>
      </c>
      <c r="M184" s="8" t="s">
        <v>1241</v>
      </c>
      <c r="N184" s="8" t="s">
        <v>41</v>
      </c>
      <c r="O184" s="8" t="s">
        <v>42</v>
      </c>
      <c r="P184" s="6" t="s">
        <v>43</v>
      </c>
      <c r="Q184" s="8" t="s">
        <v>114</v>
      </c>
      <c r="R184" s="10" t="s">
        <v>115</v>
      </c>
      <c r="S184" s="11" t="s">
        <v>1242</v>
      </c>
      <c r="T184" s="6"/>
      <c r="U184" s="27" t="str">
        <f>HYPERLINK("https://media.infra-m.ru/2080/2080245/cover/2080245.jpg", "Обложка")</f>
        <v>Обложка</v>
      </c>
      <c r="V184" s="27" t="str">
        <f>HYPERLINK("https://znanium.com/catalog/product/1758022", "Ознакомиться")</f>
        <v>Ознакомиться</v>
      </c>
      <c r="W184" s="8" t="s">
        <v>872</v>
      </c>
      <c r="X184" s="6"/>
      <c r="Y184" s="6"/>
      <c r="Z184" s="6"/>
      <c r="AA184" s="6" t="s">
        <v>1243</v>
      </c>
    </row>
    <row r="185" spans="1:27" s="4" customFormat="1" ht="51.95" customHeight="1">
      <c r="A185" s="5">
        <v>0</v>
      </c>
      <c r="B185" s="6" t="s">
        <v>1244</v>
      </c>
      <c r="C185" s="7">
        <v>1100</v>
      </c>
      <c r="D185" s="8" t="s">
        <v>1245</v>
      </c>
      <c r="E185" s="8" t="s">
        <v>1246</v>
      </c>
      <c r="F185" s="8" t="s">
        <v>1247</v>
      </c>
      <c r="G185" s="6" t="s">
        <v>111</v>
      </c>
      <c r="H185" s="6" t="s">
        <v>38</v>
      </c>
      <c r="I185" s="8" t="s">
        <v>1081</v>
      </c>
      <c r="J185" s="9">
        <v>1</v>
      </c>
      <c r="K185" s="9">
        <v>223</v>
      </c>
      <c r="L185" s="9">
        <v>2024</v>
      </c>
      <c r="M185" s="8" t="s">
        <v>1248</v>
      </c>
      <c r="N185" s="8" t="s">
        <v>41</v>
      </c>
      <c r="O185" s="8" t="s">
        <v>42</v>
      </c>
      <c r="P185" s="6" t="s">
        <v>43</v>
      </c>
      <c r="Q185" s="8" t="s">
        <v>1083</v>
      </c>
      <c r="R185" s="10" t="s">
        <v>1249</v>
      </c>
      <c r="S185" s="11"/>
      <c r="T185" s="6"/>
      <c r="U185" s="27" t="str">
        <f>HYPERLINK("https://media.infra-m.ru/2080/2080782/cover/2080782.jpg", "Обложка")</f>
        <v>Обложка</v>
      </c>
      <c r="V185" s="27" t="str">
        <f>HYPERLINK("https://znanium.com/catalog/product/2080782", "Ознакомиться")</f>
        <v>Ознакомиться</v>
      </c>
      <c r="W185" s="8" t="s">
        <v>1250</v>
      </c>
      <c r="X185" s="6"/>
      <c r="Y185" s="6"/>
      <c r="Z185" s="6"/>
      <c r="AA185" s="6" t="s">
        <v>606</v>
      </c>
    </row>
    <row r="186" spans="1:27" s="4" customFormat="1" ht="42" customHeight="1">
      <c r="A186" s="5">
        <v>0</v>
      </c>
      <c r="B186" s="6" t="s">
        <v>1251</v>
      </c>
      <c r="C186" s="7">
        <v>1190</v>
      </c>
      <c r="D186" s="8" t="s">
        <v>1252</v>
      </c>
      <c r="E186" s="8" t="s">
        <v>1253</v>
      </c>
      <c r="F186" s="8" t="s">
        <v>1254</v>
      </c>
      <c r="G186" s="6" t="s">
        <v>37</v>
      </c>
      <c r="H186" s="6" t="s">
        <v>38</v>
      </c>
      <c r="I186" s="8" t="s">
        <v>579</v>
      </c>
      <c r="J186" s="9">
        <v>1</v>
      </c>
      <c r="K186" s="9">
        <v>251</v>
      </c>
      <c r="L186" s="9">
        <v>2023</v>
      </c>
      <c r="M186" s="8" t="s">
        <v>1255</v>
      </c>
      <c r="N186" s="8" t="s">
        <v>41</v>
      </c>
      <c r="O186" s="8" t="s">
        <v>42</v>
      </c>
      <c r="P186" s="6" t="s">
        <v>75</v>
      </c>
      <c r="Q186" s="8" t="s">
        <v>76</v>
      </c>
      <c r="R186" s="10" t="s">
        <v>58</v>
      </c>
      <c r="S186" s="11"/>
      <c r="T186" s="6"/>
      <c r="U186" s="27" t="str">
        <f>HYPERLINK("https://media.infra-m.ru/1916/1916083/cover/1916083.jpg", "Обложка")</f>
        <v>Обложка</v>
      </c>
      <c r="V186" s="27" t="str">
        <f>HYPERLINK("https://znanium.com/catalog/product/1916083", "Ознакомиться")</f>
        <v>Ознакомиться</v>
      </c>
      <c r="W186" s="8" t="s">
        <v>1256</v>
      </c>
      <c r="X186" s="6" t="s">
        <v>819</v>
      </c>
      <c r="Y186" s="6"/>
      <c r="Z186" s="6"/>
      <c r="AA186" s="6" t="s">
        <v>48</v>
      </c>
    </row>
    <row r="187" spans="1:27" s="4" customFormat="1" ht="51.95" customHeight="1">
      <c r="A187" s="5">
        <v>0</v>
      </c>
      <c r="B187" s="6" t="s">
        <v>1257</v>
      </c>
      <c r="C187" s="13">
        <v>974.9</v>
      </c>
      <c r="D187" s="8" t="s">
        <v>1258</v>
      </c>
      <c r="E187" s="8" t="s">
        <v>1259</v>
      </c>
      <c r="F187" s="8" t="s">
        <v>1260</v>
      </c>
      <c r="G187" s="6" t="s">
        <v>37</v>
      </c>
      <c r="H187" s="6" t="s">
        <v>38</v>
      </c>
      <c r="I187" s="8" t="s">
        <v>39</v>
      </c>
      <c r="J187" s="9">
        <v>1</v>
      </c>
      <c r="K187" s="9">
        <v>217</v>
      </c>
      <c r="L187" s="9">
        <v>2023</v>
      </c>
      <c r="M187" s="8" t="s">
        <v>1261</v>
      </c>
      <c r="N187" s="8" t="s">
        <v>41</v>
      </c>
      <c r="O187" s="8" t="s">
        <v>42</v>
      </c>
      <c r="P187" s="6" t="s">
        <v>43</v>
      </c>
      <c r="Q187" s="8" t="s">
        <v>92</v>
      </c>
      <c r="R187" s="10" t="s">
        <v>1262</v>
      </c>
      <c r="S187" s="11"/>
      <c r="T187" s="6"/>
      <c r="U187" s="27" t="str">
        <f>HYPERLINK("https://media.infra-m.ru/1912/1912990/cover/1912990.jpg", "Обложка")</f>
        <v>Обложка</v>
      </c>
      <c r="V187" s="27" t="str">
        <f>HYPERLINK("https://znanium.com/catalog/product/1027021", "Ознакомиться")</f>
        <v>Ознакомиться</v>
      </c>
      <c r="W187" s="8" t="s">
        <v>85</v>
      </c>
      <c r="X187" s="6"/>
      <c r="Y187" s="6"/>
      <c r="Z187" s="6"/>
      <c r="AA187" s="6" t="s">
        <v>60</v>
      </c>
    </row>
    <row r="188" spans="1:27" s="4" customFormat="1" ht="51.95" customHeight="1">
      <c r="A188" s="5">
        <v>0</v>
      </c>
      <c r="B188" s="6" t="s">
        <v>1263</v>
      </c>
      <c r="C188" s="7">
        <v>1430</v>
      </c>
      <c r="D188" s="8" t="s">
        <v>1264</v>
      </c>
      <c r="E188" s="8" t="s">
        <v>1265</v>
      </c>
      <c r="F188" s="8" t="s">
        <v>1266</v>
      </c>
      <c r="G188" s="6" t="s">
        <v>111</v>
      </c>
      <c r="H188" s="6" t="s">
        <v>38</v>
      </c>
      <c r="I188" s="8" t="s">
        <v>112</v>
      </c>
      <c r="J188" s="9">
        <v>1</v>
      </c>
      <c r="K188" s="9">
        <v>318</v>
      </c>
      <c r="L188" s="9">
        <v>2023</v>
      </c>
      <c r="M188" s="8" t="s">
        <v>1267</v>
      </c>
      <c r="N188" s="8" t="s">
        <v>41</v>
      </c>
      <c r="O188" s="8" t="s">
        <v>42</v>
      </c>
      <c r="P188" s="6" t="s">
        <v>43</v>
      </c>
      <c r="Q188" s="8" t="s">
        <v>114</v>
      </c>
      <c r="R188" s="10" t="s">
        <v>1268</v>
      </c>
      <c r="S188" s="11" t="s">
        <v>1269</v>
      </c>
      <c r="T188" s="6"/>
      <c r="U188" s="27" t="str">
        <f>HYPERLINK("https://media.infra-m.ru/1919/1919501/cover/1919501.jpg", "Обложка")</f>
        <v>Обложка</v>
      </c>
      <c r="V188" s="27" t="str">
        <f>HYPERLINK("https://znanium.com/catalog/product/1919501", "Ознакомиться")</f>
        <v>Ознакомиться</v>
      </c>
      <c r="W188" s="8" t="s">
        <v>85</v>
      </c>
      <c r="X188" s="6"/>
      <c r="Y188" s="6"/>
      <c r="Z188" s="6"/>
      <c r="AA188" s="6" t="s">
        <v>1270</v>
      </c>
    </row>
    <row r="189" spans="1:27" s="4" customFormat="1" ht="51.95" customHeight="1">
      <c r="A189" s="5">
        <v>0</v>
      </c>
      <c r="B189" s="6" t="s">
        <v>1271</v>
      </c>
      <c r="C189" s="7">
        <v>1090</v>
      </c>
      <c r="D189" s="8" t="s">
        <v>1272</v>
      </c>
      <c r="E189" s="8" t="s">
        <v>1273</v>
      </c>
      <c r="F189" s="8" t="s">
        <v>1274</v>
      </c>
      <c r="G189" s="6" t="s">
        <v>111</v>
      </c>
      <c r="H189" s="6" t="s">
        <v>286</v>
      </c>
      <c r="I189" s="8" t="s">
        <v>112</v>
      </c>
      <c r="J189" s="9">
        <v>1</v>
      </c>
      <c r="K189" s="9">
        <v>352</v>
      </c>
      <c r="L189" s="9">
        <v>2018</v>
      </c>
      <c r="M189" s="8" t="s">
        <v>1275</v>
      </c>
      <c r="N189" s="8" t="s">
        <v>41</v>
      </c>
      <c r="O189" s="8" t="s">
        <v>42</v>
      </c>
      <c r="P189" s="6" t="s">
        <v>43</v>
      </c>
      <c r="Q189" s="8" t="s">
        <v>114</v>
      </c>
      <c r="R189" s="10" t="s">
        <v>1268</v>
      </c>
      <c r="S189" s="11" t="s">
        <v>1276</v>
      </c>
      <c r="T189" s="6"/>
      <c r="U189" s="27" t="str">
        <f>HYPERLINK("https://media.infra-m.ru/0915/0915568/cover/915568.jpg", "Обложка")</f>
        <v>Обложка</v>
      </c>
      <c r="V189" s="27" t="str">
        <f>HYPERLINK("https://znanium.com/catalog/product/1919501", "Ознакомиться")</f>
        <v>Ознакомиться</v>
      </c>
      <c r="W189" s="8" t="s">
        <v>85</v>
      </c>
      <c r="X189" s="6"/>
      <c r="Y189" s="6"/>
      <c r="Z189" s="6"/>
      <c r="AA189" s="6" t="s">
        <v>205</v>
      </c>
    </row>
    <row r="190" spans="1:27" s="4" customFormat="1" ht="51.95" customHeight="1">
      <c r="A190" s="5">
        <v>0</v>
      </c>
      <c r="B190" s="6" t="s">
        <v>1277</v>
      </c>
      <c r="C190" s="13">
        <v>410</v>
      </c>
      <c r="D190" s="8" t="s">
        <v>1278</v>
      </c>
      <c r="E190" s="8" t="s">
        <v>1279</v>
      </c>
      <c r="F190" s="8" t="s">
        <v>1280</v>
      </c>
      <c r="G190" s="6" t="s">
        <v>53</v>
      </c>
      <c r="H190" s="6" t="s">
        <v>38</v>
      </c>
      <c r="I190" s="8" t="s">
        <v>156</v>
      </c>
      <c r="J190" s="9">
        <v>1</v>
      </c>
      <c r="K190" s="9">
        <v>76</v>
      </c>
      <c r="L190" s="9">
        <v>2024</v>
      </c>
      <c r="M190" s="8" t="s">
        <v>1281</v>
      </c>
      <c r="N190" s="8" t="s">
        <v>41</v>
      </c>
      <c r="O190" s="8" t="s">
        <v>42</v>
      </c>
      <c r="P190" s="6" t="s">
        <v>43</v>
      </c>
      <c r="Q190" s="8" t="s">
        <v>123</v>
      </c>
      <c r="R190" s="10" t="s">
        <v>1282</v>
      </c>
      <c r="S190" s="11" t="s">
        <v>1283</v>
      </c>
      <c r="T190" s="6"/>
      <c r="U190" s="27" t="str">
        <f>HYPERLINK("https://media.infra-m.ru/2118/2118172/cover/2118172.jpg", "Обложка")</f>
        <v>Обложка</v>
      </c>
      <c r="V190" s="27" t="str">
        <f>HYPERLINK("https://znanium.com/catalog/product/2118172", "Ознакомиться")</f>
        <v>Ознакомиться</v>
      </c>
      <c r="W190" s="8" t="s">
        <v>472</v>
      </c>
      <c r="X190" s="6"/>
      <c r="Y190" s="6"/>
      <c r="Z190" s="6"/>
      <c r="AA190" s="6" t="s">
        <v>60</v>
      </c>
    </row>
    <row r="191" spans="1:27" s="4" customFormat="1" ht="51.95" customHeight="1">
      <c r="A191" s="5">
        <v>0</v>
      </c>
      <c r="B191" s="6" t="s">
        <v>1284</v>
      </c>
      <c r="C191" s="7">
        <v>1094.9000000000001</v>
      </c>
      <c r="D191" s="8" t="s">
        <v>1285</v>
      </c>
      <c r="E191" s="8" t="s">
        <v>1286</v>
      </c>
      <c r="F191" s="8" t="s">
        <v>1287</v>
      </c>
      <c r="G191" s="6" t="s">
        <v>37</v>
      </c>
      <c r="H191" s="6" t="s">
        <v>38</v>
      </c>
      <c r="I191" s="8" t="s">
        <v>101</v>
      </c>
      <c r="J191" s="9">
        <v>1</v>
      </c>
      <c r="K191" s="9">
        <v>243</v>
      </c>
      <c r="L191" s="9">
        <v>2023</v>
      </c>
      <c r="M191" s="8" t="s">
        <v>1288</v>
      </c>
      <c r="N191" s="8" t="s">
        <v>41</v>
      </c>
      <c r="O191" s="8" t="s">
        <v>42</v>
      </c>
      <c r="P191" s="6" t="s">
        <v>43</v>
      </c>
      <c r="Q191" s="8" t="s">
        <v>92</v>
      </c>
      <c r="R191" s="10" t="s">
        <v>1289</v>
      </c>
      <c r="S191" s="11" t="s">
        <v>1290</v>
      </c>
      <c r="T191" s="6"/>
      <c r="U191" s="27" t="str">
        <f>HYPERLINK("https://media.infra-m.ru/1934/1934013/cover/1934013.jpg", "Обложка")</f>
        <v>Обложка</v>
      </c>
      <c r="V191" s="27" t="str">
        <f>HYPERLINK("https://znanium.com/catalog/product/1945375", "Ознакомиться")</f>
        <v>Ознакомиться</v>
      </c>
      <c r="W191" s="8" t="s">
        <v>1291</v>
      </c>
      <c r="X191" s="6"/>
      <c r="Y191" s="6"/>
      <c r="Z191" s="6"/>
      <c r="AA191" s="6" t="s">
        <v>273</v>
      </c>
    </row>
    <row r="192" spans="1:27" s="4" customFormat="1" ht="51.95" customHeight="1">
      <c r="A192" s="5">
        <v>0</v>
      </c>
      <c r="B192" s="6" t="s">
        <v>1292</v>
      </c>
      <c r="C192" s="13">
        <v>964.9</v>
      </c>
      <c r="D192" s="8" t="s">
        <v>1293</v>
      </c>
      <c r="E192" s="8" t="s">
        <v>1294</v>
      </c>
      <c r="F192" s="8" t="s">
        <v>1295</v>
      </c>
      <c r="G192" s="6" t="s">
        <v>37</v>
      </c>
      <c r="H192" s="6" t="s">
        <v>38</v>
      </c>
      <c r="I192" s="8" t="s">
        <v>101</v>
      </c>
      <c r="J192" s="9">
        <v>1</v>
      </c>
      <c r="K192" s="9">
        <v>214</v>
      </c>
      <c r="L192" s="9">
        <v>2023</v>
      </c>
      <c r="M192" s="8" t="s">
        <v>1296</v>
      </c>
      <c r="N192" s="8" t="s">
        <v>41</v>
      </c>
      <c r="O192" s="8" t="s">
        <v>42</v>
      </c>
      <c r="P192" s="6" t="s">
        <v>103</v>
      </c>
      <c r="Q192" s="8" t="s">
        <v>92</v>
      </c>
      <c r="R192" s="10" t="s">
        <v>1297</v>
      </c>
      <c r="S192" s="11" t="s">
        <v>1298</v>
      </c>
      <c r="T192" s="6"/>
      <c r="U192" s="27" t="str">
        <f>HYPERLINK("https://media.infra-m.ru/1919/1919504/cover/1919504.jpg", "Обложка")</f>
        <v>Обложка</v>
      </c>
      <c r="V192" s="27" t="str">
        <f>HYPERLINK("https://znanium.com/catalog/product/1229322", "Ознакомиться")</f>
        <v>Ознакомиться</v>
      </c>
      <c r="W192" s="8" t="s">
        <v>298</v>
      </c>
      <c r="X192" s="6"/>
      <c r="Y192" s="6"/>
      <c r="Z192" s="6"/>
      <c r="AA192" s="6" t="s">
        <v>181</v>
      </c>
    </row>
    <row r="193" spans="1:27" s="4" customFormat="1" ht="51.95" customHeight="1">
      <c r="A193" s="5">
        <v>0</v>
      </c>
      <c r="B193" s="6" t="s">
        <v>1299</v>
      </c>
      <c r="C193" s="13">
        <v>820</v>
      </c>
      <c r="D193" s="8" t="s">
        <v>1300</v>
      </c>
      <c r="E193" s="8" t="s">
        <v>1294</v>
      </c>
      <c r="F193" s="8" t="s">
        <v>1301</v>
      </c>
      <c r="G193" s="6" t="s">
        <v>111</v>
      </c>
      <c r="H193" s="6" t="s">
        <v>38</v>
      </c>
      <c r="I193" s="8" t="s">
        <v>112</v>
      </c>
      <c r="J193" s="9">
        <v>1</v>
      </c>
      <c r="K193" s="9">
        <v>214</v>
      </c>
      <c r="L193" s="9">
        <v>2022</v>
      </c>
      <c r="M193" s="8" t="s">
        <v>1302</v>
      </c>
      <c r="N193" s="8" t="s">
        <v>41</v>
      </c>
      <c r="O193" s="8" t="s">
        <v>42</v>
      </c>
      <c r="P193" s="6" t="s">
        <v>103</v>
      </c>
      <c r="Q193" s="8" t="s">
        <v>114</v>
      </c>
      <c r="R193" s="10" t="s">
        <v>1303</v>
      </c>
      <c r="S193" s="11" t="s">
        <v>1304</v>
      </c>
      <c r="T193" s="6" t="s">
        <v>235</v>
      </c>
      <c r="U193" s="27" t="str">
        <f>HYPERLINK("https://media.infra-m.ru/1818/1818807/cover/1818807.jpg", "Обложка")</f>
        <v>Обложка</v>
      </c>
      <c r="V193" s="27" t="str">
        <f>HYPERLINK("https://znanium.com/catalog/product/1818807", "Ознакомиться")</f>
        <v>Ознакомиться</v>
      </c>
      <c r="W193" s="8" t="s">
        <v>298</v>
      </c>
      <c r="X193" s="6"/>
      <c r="Y193" s="6"/>
      <c r="Z193" s="6" t="s">
        <v>117</v>
      </c>
      <c r="AA193" s="6" t="s">
        <v>786</v>
      </c>
    </row>
    <row r="194" spans="1:27" s="4" customFormat="1" ht="51.95" customHeight="1">
      <c r="A194" s="5">
        <v>0</v>
      </c>
      <c r="B194" s="6" t="s">
        <v>1305</v>
      </c>
      <c r="C194" s="13">
        <v>871.9</v>
      </c>
      <c r="D194" s="8" t="s">
        <v>1306</v>
      </c>
      <c r="E194" s="8" t="s">
        <v>1307</v>
      </c>
      <c r="F194" s="8" t="s">
        <v>1308</v>
      </c>
      <c r="G194" s="6" t="s">
        <v>37</v>
      </c>
      <c r="H194" s="6" t="s">
        <v>38</v>
      </c>
      <c r="I194" s="8"/>
      <c r="J194" s="9">
        <v>1</v>
      </c>
      <c r="K194" s="9">
        <v>91</v>
      </c>
      <c r="L194" s="9">
        <v>2020</v>
      </c>
      <c r="M194" s="8" t="s">
        <v>1309</v>
      </c>
      <c r="N194" s="8" t="s">
        <v>41</v>
      </c>
      <c r="O194" s="8" t="s">
        <v>42</v>
      </c>
      <c r="P194" s="6" t="s">
        <v>1310</v>
      </c>
      <c r="Q194" s="8" t="s">
        <v>123</v>
      </c>
      <c r="R194" s="10" t="s">
        <v>1311</v>
      </c>
      <c r="S194" s="11"/>
      <c r="T194" s="6"/>
      <c r="U194" s="27" t="str">
        <f>HYPERLINK("https://media.infra-m.ru/1208/1208558/cover/1208558.jpg", "Обложка")</f>
        <v>Обложка</v>
      </c>
      <c r="V194" s="27" t="str">
        <f>HYPERLINK("https://znanium.com/catalog/product/1232761", "Ознакомиться")</f>
        <v>Ознакомиться</v>
      </c>
      <c r="W194" s="8" t="s">
        <v>763</v>
      </c>
      <c r="X194" s="6"/>
      <c r="Y194" s="6"/>
      <c r="Z194" s="6"/>
      <c r="AA194" s="6" t="s">
        <v>273</v>
      </c>
    </row>
    <row r="195" spans="1:27" s="4" customFormat="1" ht="51.95" customHeight="1">
      <c r="A195" s="5">
        <v>0</v>
      </c>
      <c r="B195" s="6" t="s">
        <v>1312</v>
      </c>
      <c r="C195" s="13">
        <v>851.9</v>
      </c>
      <c r="D195" s="8" t="s">
        <v>1313</v>
      </c>
      <c r="E195" s="8" t="s">
        <v>1314</v>
      </c>
      <c r="F195" s="8" t="s">
        <v>1315</v>
      </c>
      <c r="G195" s="6" t="s">
        <v>37</v>
      </c>
      <c r="H195" s="6" t="s">
        <v>38</v>
      </c>
      <c r="I195" s="8"/>
      <c r="J195" s="9">
        <v>1</v>
      </c>
      <c r="K195" s="9">
        <v>51</v>
      </c>
      <c r="L195" s="9">
        <v>2020</v>
      </c>
      <c r="M195" s="8" t="s">
        <v>1316</v>
      </c>
      <c r="N195" s="8" t="s">
        <v>41</v>
      </c>
      <c r="O195" s="8" t="s">
        <v>42</v>
      </c>
      <c r="P195" s="6" t="s">
        <v>1310</v>
      </c>
      <c r="Q195" s="8" t="s">
        <v>123</v>
      </c>
      <c r="R195" s="10" t="s">
        <v>1317</v>
      </c>
      <c r="S195" s="11"/>
      <c r="T195" s="6"/>
      <c r="U195" s="27" t="str">
        <f>HYPERLINK("https://media.infra-m.ru/1208/1208557/cover/1208557.jpg", "Обложка")</f>
        <v>Обложка</v>
      </c>
      <c r="V195" s="27" t="str">
        <f>HYPERLINK("https://znanium.com/catalog/product/1232762", "Ознакомиться")</f>
        <v>Ознакомиться</v>
      </c>
      <c r="W195" s="8" t="s">
        <v>763</v>
      </c>
      <c r="X195" s="6"/>
      <c r="Y195" s="6"/>
      <c r="Z195" s="6"/>
      <c r="AA195" s="6" t="s">
        <v>273</v>
      </c>
    </row>
    <row r="196" spans="1:27" s="4" customFormat="1" ht="51.95" customHeight="1">
      <c r="A196" s="5">
        <v>0</v>
      </c>
      <c r="B196" s="6" t="s">
        <v>1318</v>
      </c>
      <c r="C196" s="13">
        <v>444</v>
      </c>
      <c r="D196" s="8" t="s">
        <v>1319</v>
      </c>
      <c r="E196" s="8" t="s">
        <v>1320</v>
      </c>
      <c r="F196" s="8" t="s">
        <v>1321</v>
      </c>
      <c r="G196" s="6" t="s">
        <v>53</v>
      </c>
      <c r="H196" s="6" t="s">
        <v>226</v>
      </c>
      <c r="I196" s="8"/>
      <c r="J196" s="9">
        <v>1</v>
      </c>
      <c r="K196" s="9">
        <v>96</v>
      </c>
      <c r="L196" s="9">
        <v>2024</v>
      </c>
      <c r="M196" s="8" t="s">
        <v>1322</v>
      </c>
      <c r="N196" s="8" t="s">
        <v>41</v>
      </c>
      <c r="O196" s="8" t="s">
        <v>42</v>
      </c>
      <c r="P196" s="6" t="s">
        <v>43</v>
      </c>
      <c r="Q196" s="8" t="s">
        <v>92</v>
      </c>
      <c r="R196" s="10" t="s">
        <v>1323</v>
      </c>
      <c r="S196" s="11" t="s">
        <v>1324</v>
      </c>
      <c r="T196" s="6"/>
      <c r="U196" s="27" t="str">
        <f>HYPERLINK("https://media.infra-m.ru/2078/2078407/cover/2078407.jpg", "Обложка")</f>
        <v>Обложка</v>
      </c>
      <c r="V196" s="27" t="str">
        <f>HYPERLINK("https://znanium.com/catalog/product/1840465", "Ознакомиться")</f>
        <v>Ознакомиться</v>
      </c>
      <c r="W196" s="8" t="s">
        <v>298</v>
      </c>
      <c r="X196" s="6"/>
      <c r="Y196" s="6"/>
      <c r="Z196" s="6"/>
      <c r="AA196" s="6" t="s">
        <v>1325</v>
      </c>
    </row>
    <row r="197" spans="1:27" s="4" customFormat="1" ht="51.95" customHeight="1">
      <c r="A197" s="5">
        <v>0</v>
      </c>
      <c r="B197" s="6" t="s">
        <v>1326</v>
      </c>
      <c r="C197" s="7">
        <v>1604.9</v>
      </c>
      <c r="D197" s="8" t="s">
        <v>1327</v>
      </c>
      <c r="E197" s="8" t="s">
        <v>1328</v>
      </c>
      <c r="F197" s="8" t="s">
        <v>1329</v>
      </c>
      <c r="G197" s="6" t="s">
        <v>37</v>
      </c>
      <c r="H197" s="6" t="s">
        <v>38</v>
      </c>
      <c r="I197" s="8" t="s">
        <v>101</v>
      </c>
      <c r="J197" s="9">
        <v>1</v>
      </c>
      <c r="K197" s="9">
        <v>423</v>
      </c>
      <c r="L197" s="9">
        <v>2022</v>
      </c>
      <c r="M197" s="8" t="s">
        <v>1330</v>
      </c>
      <c r="N197" s="8" t="s">
        <v>41</v>
      </c>
      <c r="O197" s="8" t="s">
        <v>1066</v>
      </c>
      <c r="P197" s="6" t="s">
        <v>103</v>
      </c>
      <c r="Q197" s="8" t="s">
        <v>92</v>
      </c>
      <c r="R197" s="10" t="s">
        <v>1074</v>
      </c>
      <c r="S197" s="11" t="s">
        <v>1331</v>
      </c>
      <c r="T197" s="6"/>
      <c r="U197" s="27" t="str">
        <f>HYPERLINK("https://media.infra-m.ru/1844/1844282/cover/1844282.jpg", "Обложка")</f>
        <v>Обложка</v>
      </c>
      <c r="V197" s="27" t="str">
        <f>HYPERLINK("https://znanium.com/catalog/product/973006", "Ознакомиться")</f>
        <v>Ознакомиться</v>
      </c>
      <c r="W197" s="8" t="s">
        <v>1332</v>
      </c>
      <c r="X197" s="6"/>
      <c r="Y197" s="6"/>
      <c r="Z197" s="6"/>
      <c r="AA197" s="6" t="s">
        <v>96</v>
      </c>
    </row>
    <row r="198" spans="1:27" s="4" customFormat="1" ht="51.95" customHeight="1">
      <c r="A198" s="5">
        <v>0</v>
      </c>
      <c r="B198" s="6" t="s">
        <v>1333</v>
      </c>
      <c r="C198" s="7">
        <v>1490</v>
      </c>
      <c r="D198" s="8" t="s">
        <v>1334</v>
      </c>
      <c r="E198" s="8" t="s">
        <v>1335</v>
      </c>
      <c r="F198" s="8" t="s">
        <v>1336</v>
      </c>
      <c r="G198" s="6" t="s">
        <v>111</v>
      </c>
      <c r="H198" s="6" t="s">
        <v>38</v>
      </c>
      <c r="I198" s="8" t="s">
        <v>156</v>
      </c>
      <c r="J198" s="9">
        <v>1</v>
      </c>
      <c r="K198" s="9">
        <v>317</v>
      </c>
      <c r="L198" s="9">
        <v>2023</v>
      </c>
      <c r="M198" s="8" t="s">
        <v>1337</v>
      </c>
      <c r="N198" s="8" t="s">
        <v>41</v>
      </c>
      <c r="O198" s="8" t="s">
        <v>42</v>
      </c>
      <c r="P198" s="6" t="s">
        <v>43</v>
      </c>
      <c r="Q198" s="8" t="s">
        <v>123</v>
      </c>
      <c r="R198" s="10" t="s">
        <v>77</v>
      </c>
      <c r="S198" s="11" t="s">
        <v>605</v>
      </c>
      <c r="T198" s="6"/>
      <c r="U198" s="27" t="str">
        <f>HYPERLINK("https://media.infra-m.ru/1938/1938023/cover/1938023.jpg", "Обложка")</f>
        <v>Обложка</v>
      </c>
      <c r="V198" s="27" t="str">
        <f>HYPERLINK("https://znanium.com/catalog/product/1938023", "Ознакомиться")</f>
        <v>Ознакомиться</v>
      </c>
      <c r="W198" s="8" t="s">
        <v>142</v>
      </c>
      <c r="X198" s="6" t="s">
        <v>1338</v>
      </c>
      <c r="Y198" s="6"/>
      <c r="Z198" s="6"/>
      <c r="AA198" s="6" t="s">
        <v>606</v>
      </c>
    </row>
    <row r="199" spans="1:27" s="4" customFormat="1" ht="51.95" customHeight="1">
      <c r="A199" s="5">
        <v>0</v>
      </c>
      <c r="B199" s="6" t="s">
        <v>1339</v>
      </c>
      <c r="C199" s="7">
        <v>1320</v>
      </c>
      <c r="D199" s="8" t="s">
        <v>1340</v>
      </c>
      <c r="E199" s="8" t="s">
        <v>1341</v>
      </c>
      <c r="F199" s="8" t="s">
        <v>1336</v>
      </c>
      <c r="G199" s="6" t="s">
        <v>111</v>
      </c>
      <c r="H199" s="6" t="s">
        <v>38</v>
      </c>
      <c r="I199" s="8" t="s">
        <v>156</v>
      </c>
      <c r="J199" s="9">
        <v>1</v>
      </c>
      <c r="K199" s="9">
        <v>312</v>
      </c>
      <c r="L199" s="9">
        <v>2022</v>
      </c>
      <c r="M199" s="8" t="s">
        <v>1342</v>
      </c>
      <c r="N199" s="8" t="s">
        <v>41</v>
      </c>
      <c r="O199" s="8" t="s">
        <v>42</v>
      </c>
      <c r="P199" s="6" t="s">
        <v>43</v>
      </c>
      <c r="Q199" s="8" t="s">
        <v>123</v>
      </c>
      <c r="R199" s="10" t="s">
        <v>77</v>
      </c>
      <c r="S199" s="11" t="s">
        <v>605</v>
      </c>
      <c r="T199" s="6"/>
      <c r="U199" s="27" t="str">
        <f>HYPERLINK("https://media.infra-m.ru/1863/1863411/cover/1863411.jpg", "Обложка")</f>
        <v>Обложка</v>
      </c>
      <c r="V199" s="27" t="str">
        <f>HYPERLINK("https://znanium.com/catalog/product/1938023", "Ознакомиться")</f>
        <v>Ознакомиться</v>
      </c>
      <c r="W199" s="8" t="s">
        <v>142</v>
      </c>
      <c r="X199" s="6"/>
      <c r="Y199" s="6"/>
      <c r="Z199" s="6"/>
      <c r="AA199" s="6" t="s">
        <v>78</v>
      </c>
    </row>
    <row r="200" spans="1:27" s="4" customFormat="1" ht="51.95" customHeight="1">
      <c r="A200" s="5">
        <v>0</v>
      </c>
      <c r="B200" s="6" t="s">
        <v>1343</v>
      </c>
      <c r="C200" s="7">
        <v>2990</v>
      </c>
      <c r="D200" s="8" t="s">
        <v>1344</v>
      </c>
      <c r="E200" s="8" t="s">
        <v>1345</v>
      </c>
      <c r="F200" s="8" t="s">
        <v>1053</v>
      </c>
      <c r="G200" s="6" t="s">
        <v>37</v>
      </c>
      <c r="H200" s="6" t="s">
        <v>38</v>
      </c>
      <c r="I200" s="8" t="s">
        <v>156</v>
      </c>
      <c r="J200" s="9">
        <v>1</v>
      </c>
      <c r="K200" s="9">
        <v>722</v>
      </c>
      <c r="L200" s="9">
        <v>2024</v>
      </c>
      <c r="M200" s="8" t="s">
        <v>1346</v>
      </c>
      <c r="N200" s="8" t="s">
        <v>41</v>
      </c>
      <c r="O200" s="8" t="s">
        <v>42</v>
      </c>
      <c r="P200" s="6" t="s">
        <v>103</v>
      </c>
      <c r="Q200" s="8" t="s">
        <v>123</v>
      </c>
      <c r="R200" s="10" t="s">
        <v>77</v>
      </c>
      <c r="S200" s="11" t="s">
        <v>1347</v>
      </c>
      <c r="T200" s="6" t="s">
        <v>235</v>
      </c>
      <c r="U200" s="27" t="str">
        <f>HYPERLINK("https://media.infra-m.ru/2058/2058760/cover/2058760.jpg", "Обложка")</f>
        <v>Обложка</v>
      </c>
      <c r="V200" s="27" t="str">
        <f>HYPERLINK("https://znanium.com/catalog/product/2058760", "Ознакомиться")</f>
        <v>Ознакомиться</v>
      </c>
      <c r="W200" s="8" t="s">
        <v>85</v>
      </c>
      <c r="X200" s="6"/>
      <c r="Y200" s="6"/>
      <c r="Z200" s="6"/>
      <c r="AA200" s="6" t="s">
        <v>86</v>
      </c>
    </row>
    <row r="201" spans="1:27" s="4" customFormat="1" ht="51.95" customHeight="1">
      <c r="A201" s="5">
        <v>0</v>
      </c>
      <c r="B201" s="6" t="s">
        <v>1348</v>
      </c>
      <c r="C201" s="7">
        <v>2084</v>
      </c>
      <c r="D201" s="8" t="s">
        <v>1349</v>
      </c>
      <c r="E201" s="8" t="s">
        <v>1350</v>
      </c>
      <c r="F201" s="8" t="s">
        <v>1351</v>
      </c>
      <c r="G201" s="6" t="s">
        <v>111</v>
      </c>
      <c r="H201" s="6" t="s">
        <v>38</v>
      </c>
      <c r="I201" s="8" t="s">
        <v>39</v>
      </c>
      <c r="J201" s="9">
        <v>1</v>
      </c>
      <c r="K201" s="9">
        <v>454</v>
      </c>
      <c r="L201" s="9">
        <v>2024</v>
      </c>
      <c r="M201" s="8" t="s">
        <v>1352</v>
      </c>
      <c r="N201" s="8" t="s">
        <v>41</v>
      </c>
      <c r="O201" s="8" t="s">
        <v>42</v>
      </c>
      <c r="P201" s="6" t="s">
        <v>103</v>
      </c>
      <c r="Q201" s="8" t="s">
        <v>123</v>
      </c>
      <c r="R201" s="10" t="s">
        <v>1353</v>
      </c>
      <c r="S201" s="11" t="s">
        <v>1354</v>
      </c>
      <c r="T201" s="6"/>
      <c r="U201" s="27" t="str">
        <f>HYPERLINK("https://media.infra-m.ru/2083/2083337/cover/2083337.jpg", "Обложка")</f>
        <v>Обложка</v>
      </c>
      <c r="V201" s="27" t="str">
        <f>HYPERLINK("https://znanium.com/catalog/product/1912991", "Ознакомиться")</f>
        <v>Ознакомиться</v>
      </c>
      <c r="W201" s="8" t="s">
        <v>1355</v>
      </c>
      <c r="X201" s="6"/>
      <c r="Y201" s="6"/>
      <c r="Z201" s="6"/>
      <c r="AA201" s="6" t="s">
        <v>221</v>
      </c>
    </row>
    <row r="202" spans="1:27" s="4" customFormat="1" ht="51.95" customHeight="1">
      <c r="A202" s="5">
        <v>0</v>
      </c>
      <c r="B202" s="6" t="s">
        <v>1356</v>
      </c>
      <c r="C202" s="7">
        <v>2900</v>
      </c>
      <c r="D202" s="8" t="s">
        <v>1357</v>
      </c>
      <c r="E202" s="8" t="s">
        <v>1358</v>
      </c>
      <c r="F202" s="8" t="s">
        <v>1351</v>
      </c>
      <c r="G202" s="6" t="s">
        <v>111</v>
      </c>
      <c r="H202" s="6" t="s">
        <v>38</v>
      </c>
      <c r="I202" s="8" t="s">
        <v>156</v>
      </c>
      <c r="J202" s="9">
        <v>1</v>
      </c>
      <c r="K202" s="9">
        <v>639</v>
      </c>
      <c r="L202" s="9">
        <v>2023</v>
      </c>
      <c r="M202" s="8" t="s">
        <v>1359</v>
      </c>
      <c r="N202" s="8" t="s">
        <v>41</v>
      </c>
      <c r="O202" s="8" t="s">
        <v>42</v>
      </c>
      <c r="P202" s="6" t="s">
        <v>103</v>
      </c>
      <c r="Q202" s="8" t="s">
        <v>123</v>
      </c>
      <c r="R202" s="10" t="s">
        <v>441</v>
      </c>
      <c r="S202" s="11" t="s">
        <v>1360</v>
      </c>
      <c r="T202" s="6" t="s">
        <v>235</v>
      </c>
      <c r="U202" s="27" t="str">
        <f>HYPERLINK("https://media.infra-m.ru/1911/1911118/cover/1911118.jpg", "Обложка")</f>
        <v>Обложка</v>
      </c>
      <c r="V202" s="27" t="str">
        <f>HYPERLINK("https://znanium.com/catalog/product/1911118", "Ознакомиться")</f>
        <v>Ознакомиться</v>
      </c>
      <c r="W202" s="8" t="s">
        <v>1355</v>
      </c>
      <c r="X202" s="6"/>
      <c r="Y202" s="6"/>
      <c r="Z202" s="6"/>
      <c r="AA202" s="6" t="s">
        <v>451</v>
      </c>
    </row>
    <row r="203" spans="1:27" s="4" customFormat="1" ht="51.95" customHeight="1">
      <c r="A203" s="5">
        <v>0</v>
      </c>
      <c r="B203" s="6" t="s">
        <v>1361</v>
      </c>
      <c r="C203" s="7">
        <v>1614</v>
      </c>
      <c r="D203" s="8" t="s">
        <v>1362</v>
      </c>
      <c r="E203" s="8" t="s">
        <v>1363</v>
      </c>
      <c r="F203" s="8" t="s">
        <v>1364</v>
      </c>
      <c r="G203" s="6" t="s">
        <v>37</v>
      </c>
      <c r="H203" s="6" t="s">
        <v>38</v>
      </c>
      <c r="I203" s="8" t="s">
        <v>101</v>
      </c>
      <c r="J203" s="9">
        <v>1</v>
      </c>
      <c r="K203" s="9">
        <v>351</v>
      </c>
      <c r="L203" s="9">
        <v>2024</v>
      </c>
      <c r="M203" s="8" t="s">
        <v>1365</v>
      </c>
      <c r="N203" s="8" t="s">
        <v>41</v>
      </c>
      <c r="O203" s="8" t="s">
        <v>42</v>
      </c>
      <c r="P203" s="6" t="s">
        <v>43</v>
      </c>
      <c r="Q203" s="8" t="s">
        <v>92</v>
      </c>
      <c r="R203" s="10" t="s">
        <v>1366</v>
      </c>
      <c r="S203" s="11"/>
      <c r="T203" s="6" t="s">
        <v>235</v>
      </c>
      <c r="U203" s="27" t="str">
        <f>HYPERLINK("https://media.infra-m.ru/2099/2099056/cover/2099056.jpg", "Обложка")</f>
        <v>Обложка</v>
      </c>
      <c r="V203" s="27" t="str">
        <f>HYPERLINK("https://znanium.com/catalog/product/1850673", "Ознакомиться")</f>
        <v>Ознакомиться</v>
      </c>
      <c r="W203" s="8" t="s">
        <v>249</v>
      </c>
      <c r="X203" s="6"/>
      <c r="Y203" s="6"/>
      <c r="Z203" s="6"/>
      <c r="AA203" s="6" t="s">
        <v>181</v>
      </c>
    </row>
    <row r="204" spans="1:27" s="4" customFormat="1" ht="51.95" customHeight="1">
      <c r="A204" s="5">
        <v>0</v>
      </c>
      <c r="B204" s="6" t="s">
        <v>1367</v>
      </c>
      <c r="C204" s="7">
        <v>1204</v>
      </c>
      <c r="D204" s="8" t="s">
        <v>1368</v>
      </c>
      <c r="E204" s="8" t="s">
        <v>1363</v>
      </c>
      <c r="F204" s="8" t="s">
        <v>1369</v>
      </c>
      <c r="G204" s="6" t="s">
        <v>37</v>
      </c>
      <c r="H204" s="6" t="s">
        <v>38</v>
      </c>
      <c r="I204" s="8" t="s">
        <v>112</v>
      </c>
      <c r="J204" s="9">
        <v>1</v>
      </c>
      <c r="K204" s="9">
        <v>351</v>
      </c>
      <c r="L204" s="9">
        <v>2020</v>
      </c>
      <c r="M204" s="8" t="s">
        <v>1370</v>
      </c>
      <c r="N204" s="8" t="s">
        <v>41</v>
      </c>
      <c r="O204" s="8" t="s">
        <v>42</v>
      </c>
      <c r="P204" s="6" t="s">
        <v>43</v>
      </c>
      <c r="Q204" s="8" t="s">
        <v>114</v>
      </c>
      <c r="R204" s="10" t="s">
        <v>1371</v>
      </c>
      <c r="S204" s="11" t="s">
        <v>1372</v>
      </c>
      <c r="T204" s="6" t="s">
        <v>235</v>
      </c>
      <c r="U204" s="27" t="str">
        <f>HYPERLINK("https://media.infra-m.ru/2081/2081970/cover/2081970.jpg", "Обложка")</f>
        <v>Обложка</v>
      </c>
      <c r="V204" s="27" t="str">
        <f>HYPERLINK("https://znanium.com/catalog/product/1934006", "Ознакомиться")</f>
        <v>Ознакомиться</v>
      </c>
      <c r="W204" s="8" t="s">
        <v>249</v>
      </c>
      <c r="X204" s="6"/>
      <c r="Y204" s="6"/>
      <c r="Z204" s="6" t="s">
        <v>117</v>
      </c>
      <c r="AA204" s="6" t="s">
        <v>1373</v>
      </c>
    </row>
    <row r="205" spans="1:27" s="4" customFormat="1" ht="51.95" customHeight="1">
      <c r="A205" s="5">
        <v>0</v>
      </c>
      <c r="B205" s="6" t="s">
        <v>1374</v>
      </c>
      <c r="C205" s="13">
        <v>870</v>
      </c>
      <c r="D205" s="8" t="s">
        <v>1375</v>
      </c>
      <c r="E205" s="8" t="s">
        <v>1376</v>
      </c>
      <c r="F205" s="8" t="s">
        <v>1377</v>
      </c>
      <c r="G205" s="6" t="s">
        <v>111</v>
      </c>
      <c r="H205" s="6" t="s">
        <v>38</v>
      </c>
      <c r="I205" s="8" t="s">
        <v>101</v>
      </c>
      <c r="J205" s="9">
        <v>1</v>
      </c>
      <c r="K205" s="9">
        <v>192</v>
      </c>
      <c r="L205" s="9">
        <v>2023</v>
      </c>
      <c r="M205" s="8" t="s">
        <v>1378</v>
      </c>
      <c r="N205" s="8" t="s">
        <v>41</v>
      </c>
      <c r="O205" s="8" t="s">
        <v>42</v>
      </c>
      <c r="P205" s="6" t="s">
        <v>43</v>
      </c>
      <c r="Q205" s="8" t="s">
        <v>92</v>
      </c>
      <c r="R205" s="10" t="s">
        <v>1379</v>
      </c>
      <c r="S205" s="11" t="s">
        <v>1380</v>
      </c>
      <c r="T205" s="6"/>
      <c r="U205" s="27" t="str">
        <f>HYPERLINK("https://media.infra-m.ru/1914/1914156/cover/1914156.jpg", "Обложка")</f>
        <v>Обложка</v>
      </c>
      <c r="V205" s="27" t="str">
        <f>HYPERLINK("https://znanium.com/catalog/product/1914156", "Ознакомиться")</f>
        <v>Ознакомиться</v>
      </c>
      <c r="W205" s="8" t="s">
        <v>249</v>
      </c>
      <c r="X205" s="6"/>
      <c r="Y205" s="6"/>
      <c r="Z205" s="6"/>
      <c r="AA205" s="6" t="s">
        <v>96</v>
      </c>
    </row>
    <row r="206" spans="1:27" s="4" customFormat="1" ht="51.95" customHeight="1">
      <c r="A206" s="5">
        <v>0</v>
      </c>
      <c r="B206" s="6" t="s">
        <v>1381</v>
      </c>
      <c r="C206" s="7">
        <v>2500</v>
      </c>
      <c r="D206" s="8" t="s">
        <v>1382</v>
      </c>
      <c r="E206" s="8" t="s">
        <v>1383</v>
      </c>
      <c r="F206" s="8" t="s">
        <v>1384</v>
      </c>
      <c r="G206" s="6" t="s">
        <v>111</v>
      </c>
      <c r="H206" s="6" t="s">
        <v>38</v>
      </c>
      <c r="I206" s="8" t="s">
        <v>156</v>
      </c>
      <c r="J206" s="9">
        <v>1</v>
      </c>
      <c r="K206" s="9">
        <v>574</v>
      </c>
      <c r="L206" s="9">
        <v>2021</v>
      </c>
      <c r="M206" s="8" t="s">
        <v>1385</v>
      </c>
      <c r="N206" s="8" t="s">
        <v>41</v>
      </c>
      <c r="O206" s="8" t="s">
        <v>42</v>
      </c>
      <c r="P206" s="6" t="s">
        <v>103</v>
      </c>
      <c r="Q206" s="8" t="s">
        <v>123</v>
      </c>
      <c r="R206" s="10" t="s">
        <v>1386</v>
      </c>
      <c r="S206" s="11" t="s">
        <v>1387</v>
      </c>
      <c r="T206" s="6" t="s">
        <v>235</v>
      </c>
      <c r="U206" s="27" t="str">
        <f>HYPERLINK("https://media.infra-m.ru/1214/1214590/cover/1214590.jpg", "Обложка")</f>
        <v>Обложка</v>
      </c>
      <c r="V206" s="27" t="str">
        <f>HYPERLINK("https://znanium.com/catalog/product/1904329", "Ознакомиться")</f>
        <v>Ознакомиться</v>
      </c>
      <c r="W206" s="8" t="s">
        <v>918</v>
      </c>
      <c r="X206" s="6"/>
      <c r="Y206" s="6"/>
      <c r="Z206" s="6"/>
      <c r="AA206" s="6" t="s">
        <v>107</v>
      </c>
    </row>
    <row r="207" spans="1:27" s="4" customFormat="1" ht="51.95" customHeight="1">
      <c r="A207" s="5">
        <v>0</v>
      </c>
      <c r="B207" s="6" t="s">
        <v>1388</v>
      </c>
      <c r="C207" s="7">
        <v>1510</v>
      </c>
      <c r="D207" s="8" t="s">
        <v>1389</v>
      </c>
      <c r="E207" s="8" t="s">
        <v>1390</v>
      </c>
      <c r="F207" s="8" t="s">
        <v>1391</v>
      </c>
      <c r="G207" s="6" t="s">
        <v>111</v>
      </c>
      <c r="H207" s="6" t="s">
        <v>38</v>
      </c>
      <c r="I207" s="8" t="s">
        <v>39</v>
      </c>
      <c r="J207" s="9">
        <v>1</v>
      </c>
      <c r="K207" s="9">
        <v>336</v>
      </c>
      <c r="L207" s="9">
        <v>2023</v>
      </c>
      <c r="M207" s="8" t="s">
        <v>1392</v>
      </c>
      <c r="N207" s="8" t="s">
        <v>41</v>
      </c>
      <c r="O207" s="8" t="s">
        <v>42</v>
      </c>
      <c r="P207" s="6" t="s">
        <v>103</v>
      </c>
      <c r="Q207" s="8" t="s">
        <v>92</v>
      </c>
      <c r="R207" s="10" t="s">
        <v>1393</v>
      </c>
      <c r="S207" s="11" t="s">
        <v>1394</v>
      </c>
      <c r="T207" s="6"/>
      <c r="U207" s="27" t="str">
        <f>HYPERLINK("https://media.infra-m.ru/1933/1933136/cover/1933136.jpg", "Обложка")</f>
        <v>Обложка</v>
      </c>
      <c r="V207" s="27" t="str">
        <f>HYPERLINK("https://znanium.com/catalog/product/1933136", "Ознакомиться")</f>
        <v>Ознакомиться</v>
      </c>
      <c r="W207" s="8" t="s">
        <v>1395</v>
      </c>
      <c r="X207" s="6"/>
      <c r="Y207" s="6"/>
      <c r="Z207" s="6"/>
      <c r="AA207" s="6" t="s">
        <v>451</v>
      </c>
    </row>
    <row r="208" spans="1:27" s="4" customFormat="1" ht="51.95" customHeight="1">
      <c r="A208" s="5">
        <v>0</v>
      </c>
      <c r="B208" s="6" t="s">
        <v>1396</v>
      </c>
      <c r="C208" s="7">
        <v>1944.9</v>
      </c>
      <c r="D208" s="8" t="s">
        <v>1397</v>
      </c>
      <c r="E208" s="8" t="s">
        <v>1398</v>
      </c>
      <c r="F208" s="8" t="s">
        <v>1399</v>
      </c>
      <c r="G208" s="6" t="s">
        <v>37</v>
      </c>
      <c r="H208" s="6" t="s">
        <v>38</v>
      </c>
      <c r="I208" s="8" t="s">
        <v>101</v>
      </c>
      <c r="J208" s="9">
        <v>1</v>
      </c>
      <c r="K208" s="9">
        <v>432</v>
      </c>
      <c r="L208" s="9">
        <v>2023</v>
      </c>
      <c r="M208" s="8" t="s">
        <v>1400</v>
      </c>
      <c r="N208" s="8" t="s">
        <v>41</v>
      </c>
      <c r="O208" s="8" t="s">
        <v>42</v>
      </c>
      <c r="P208" s="6" t="s">
        <v>43</v>
      </c>
      <c r="Q208" s="8" t="s">
        <v>92</v>
      </c>
      <c r="R208" s="10" t="s">
        <v>1401</v>
      </c>
      <c r="S208" s="11" t="s">
        <v>1402</v>
      </c>
      <c r="T208" s="6"/>
      <c r="U208" s="27" t="str">
        <f>HYPERLINK("https://media.infra-m.ru/1894/1894615/cover/1894615.jpg", "Обложка")</f>
        <v>Обложка</v>
      </c>
      <c r="V208" s="27" t="str">
        <f>HYPERLINK("https://znanium.com/catalog/product/1844262", "Ознакомиться")</f>
        <v>Ознакомиться</v>
      </c>
      <c r="W208" s="8" t="s">
        <v>249</v>
      </c>
      <c r="X208" s="6"/>
      <c r="Y208" s="6"/>
      <c r="Z208" s="6"/>
      <c r="AA208" s="6" t="s">
        <v>181</v>
      </c>
    </row>
    <row r="209" spans="1:27" s="4" customFormat="1" ht="51.95" customHeight="1">
      <c r="A209" s="5">
        <v>0</v>
      </c>
      <c r="B209" s="6" t="s">
        <v>1403</v>
      </c>
      <c r="C209" s="13">
        <v>650</v>
      </c>
      <c r="D209" s="8" t="s">
        <v>1404</v>
      </c>
      <c r="E209" s="8" t="s">
        <v>1405</v>
      </c>
      <c r="F209" s="8" t="s">
        <v>1406</v>
      </c>
      <c r="G209" s="6" t="s">
        <v>53</v>
      </c>
      <c r="H209" s="6" t="s">
        <v>38</v>
      </c>
      <c r="I209" s="8" t="s">
        <v>39</v>
      </c>
      <c r="J209" s="9">
        <v>1</v>
      </c>
      <c r="K209" s="9">
        <v>144</v>
      </c>
      <c r="L209" s="9">
        <v>2023</v>
      </c>
      <c r="M209" s="8" t="s">
        <v>1407</v>
      </c>
      <c r="N209" s="8" t="s">
        <v>41</v>
      </c>
      <c r="O209" s="8" t="s">
        <v>42</v>
      </c>
      <c r="P209" s="6" t="s">
        <v>43</v>
      </c>
      <c r="Q209" s="8" t="s">
        <v>44</v>
      </c>
      <c r="R209" s="10" t="s">
        <v>1408</v>
      </c>
      <c r="S209" s="11" t="s">
        <v>1409</v>
      </c>
      <c r="T209" s="6"/>
      <c r="U209" s="27" t="str">
        <f>HYPERLINK("https://media.infra-m.ru/2032/2032570/cover/2032570.jpg", "Обложка")</f>
        <v>Обложка</v>
      </c>
      <c r="V209" s="27" t="str">
        <f>HYPERLINK("https://znanium.com/catalog/product/2032570", "Ознакомиться")</f>
        <v>Ознакомиться</v>
      </c>
      <c r="W209" s="8" t="s">
        <v>126</v>
      </c>
      <c r="X209" s="6"/>
      <c r="Y209" s="6"/>
      <c r="Z209" s="6"/>
      <c r="AA209" s="6" t="s">
        <v>60</v>
      </c>
    </row>
    <row r="210" spans="1:27" s="4" customFormat="1" ht="51.95" customHeight="1">
      <c r="A210" s="5">
        <v>0</v>
      </c>
      <c r="B210" s="6" t="s">
        <v>1410</v>
      </c>
      <c r="C210" s="7">
        <v>1364.9</v>
      </c>
      <c r="D210" s="8" t="s">
        <v>1411</v>
      </c>
      <c r="E210" s="8" t="s">
        <v>1412</v>
      </c>
      <c r="F210" s="8" t="s">
        <v>1413</v>
      </c>
      <c r="G210" s="6" t="s">
        <v>37</v>
      </c>
      <c r="H210" s="6" t="s">
        <v>217</v>
      </c>
      <c r="I210" s="8" t="s">
        <v>1414</v>
      </c>
      <c r="J210" s="9">
        <v>1</v>
      </c>
      <c r="K210" s="9">
        <v>304</v>
      </c>
      <c r="L210" s="9">
        <v>2023</v>
      </c>
      <c r="M210" s="8" t="s">
        <v>1415</v>
      </c>
      <c r="N210" s="8" t="s">
        <v>41</v>
      </c>
      <c r="O210" s="8" t="s">
        <v>1066</v>
      </c>
      <c r="P210" s="6" t="s">
        <v>103</v>
      </c>
      <c r="Q210" s="8" t="s">
        <v>92</v>
      </c>
      <c r="R210" s="10" t="s">
        <v>1074</v>
      </c>
      <c r="S210" s="11" t="s">
        <v>1416</v>
      </c>
      <c r="T210" s="6"/>
      <c r="U210" s="27" t="str">
        <f>HYPERLINK("https://media.infra-m.ru/1913/1913005/cover/1913005.jpg", "Обложка")</f>
        <v>Обложка</v>
      </c>
      <c r="V210" s="27" t="str">
        <f>HYPERLINK("https://znanium.com/catalog/product/914079", "Ознакомиться")</f>
        <v>Ознакомиться</v>
      </c>
      <c r="W210" s="8" t="s">
        <v>1068</v>
      </c>
      <c r="X210" s="6"/>
      <c r="Y210" s="6"/>
      <c r="Z210" s="6"/>
      <c r="AA210" s="6" t="s">
        <v>1417</v>
      </c>
    </row>
    <row r="211" spans="1:27" s="4" customFormat="1" ht="51.95" customHeight="1">
      <c r="A211" s="5">
        <v>0</v>
      </c>
      <c r="B211" s="6" t="s">
        <v>1418</v>
      </c>
      <c r="C211" s="7">
        <v>1284.9000000000001</v>
      </c>
      <c r="D211" s="8" t="s">
        <v>1419</v>
      </c>
      <c r="E211" s="8" t="s">
        <v>1420</v>
      </c>
      <c r="F211" s="8" t="s">
        <v>1072</v>
      </c>
      <c r="G211" s="6" t="s">
        <v>37</v>
      </c>
      <c r="H211" s="6" t="s">
        <v>38</v>
      </c>
      <c r="I211" s="8" t="s">
        <v>101</v>
      </c>
      <c r="J211" s="9">
        <v>1</v>
      </c>
      <c r="K211" s="9">
        <v>286</v>
      </c>
      <c r="L211" s="9">
        <v>2023</v>
      </c>
      <c r="M211" s="8" t="s">
        <v>1421</v>
      </c>
      <c r="N211" s="8" t="s">
        <v>41</v>
      </c>
      <c r="O211" s="8" t="s">
        <v>1066</v>
      </c>
      <c r="P211" s="6" t="s">
        <v>43</v>
      </c>
      <c r="Q211" s="8" t="s">
        <v>92</v>
      </c>
      <c r="R211" s="10" t="s">
        <v>1067</v>
      </c>
      <c r="S211" s="11" t="s">
        <v>1075</v>
      </c>
      <c r="T211" s="6"/>
      <c r="U211" s="27" t="str">
        <f>HYPERLINK("https://media.infra-m.ru/1981/1981707/cover/1981707.jpg", "Обложка")</f>
        <v>Обложка</v>
      </c>
      <c r="V211" s="27" t="str">
        <f>HYPERLINK("https://znanium.com/catalog/product/374641", "Ознакомиться")</f>
        <v>Ознакомиться</v>
      </c>
      <c r="W211" s="8" t="s">
        <v>1076</v>
      </c>
      <c r="X211" s="6"/>
      <c r="Y211" s="6"/>
      <c r="Z211" s="6"/>
      <c r="AA211" s="6" t="s">
        <v>60</v>
      </c>
    </row>
    <row r="212" spans="1:27" s="4" customFormat="1" ht="42" customHeight="1">
      <c r="A212" s="5">
        <v>0</v>
      </c>
      <c r="B212" s="6" t="s">
        <v>1422</v>
      </c>
      <c r="C212" s="7">
        <v>1024</v>
      </c>
      <c r="D212" s="8" t="s">
        <v>1423</v>
      </c>
      <c r="E212" s="8" t="s">
        <v>1424</v>
      </c>
      <c r="F212" s="8" t="s">
        <v>1425</v>
      </c>
      <c r="G212" s="6" t="s">
        <v>53</v>
      </c>
      <c r="H212" s="6" t="s">
        <v>38</v>
      </c>
      <c r="I212" s="8" t="s">
        <v>73</v>
      </c>
      <c r="J212" s="9">
        <v>1</v>
      </c>
      <c r="K212" s="9">
        <v>223</v>
      </c>
      <c r="L212" s="9">
        <v>2024</v>
      </c>
      <c r="M212" s="8" t="s">
        <v>1426</v>
      </c>
      <c r="N212" s="8" t="s">
        <v>41</v>
      </c>
      <c r="O212" s="8" t="s">
        <v>42</v>
      </c>
      <c r="P212" s="6" t="s">
        <v>75</v>
      </c>
      <c r="Q212" s="8" t="s">
        <v>76</v>
      </c>
      <c r="R212" s="10" t="s">
        <v>1427</v>
      </c>
      <c r="S212" s="11"/>
      <c r="T212" s="6"/>
      <c r="U212" s="27" t="str">
        <f>HYPERLINK("https://media.infra-m.ru/2091/2091935/cover/2091935.jpg", "Обложка")</f>
        <v>Обложка</v>
      </c>
      <c r="V212" s="27" t="str">
        <f>HYPERLINK("https://znanium.com/catalog/product/396286", "Ознакомиться")</f>
        <v>Ознакомиться</v>
      </c>
      <c r="W212" s="8" t="s">
        <v>371</v>
      </c>
      <c r="X212" s="6"/>
      <c r="Y212" s="6"/>
      <c r="Z212" s="6"/>
      <c r="AA212" s="6" t="s">
        <v>96</v>
      </c>
    </row>
    <row r="213" spans="1:27" s="4" customFormat="1" ht="51.95" customHeight="1">
      <c r="A213" s="5">
        <v>0</v>
      </c>
      <c r="B213" s="6" t="s">
        <v>1428</v>
      </c>
      <c r="C213" s="7">
        <v>1074.9000000000001</v>
      </c>
      <c r="D213" s="8" t="s">
        <v>1429</v>
      </c>
      <c r="E213" s="8" t="s">
        <v>1430</v>
      </c>
      <c r="F213" s="8" t="s">
        <v>1425</v>
      </c>
      <c r="G213" s="6" t="s">
        <v>53</v>
      </c>
      <c r="H213" s="6" t="s">
        <v>38</v>
      </c>
      <c r="I213" s="8" t="s">
        <v>73</v>
      </c>
      <c r="J213" s="9">
        <v>1</v>
      </c>
      <c r="K213" s="9">
        <v>238</v>
      </c>
      <c r="L213" s="9">
        <v>2023</v>
      </c>
      <c r="M213" s="8" t="s">
        <v>1431</v>
      </c>
      <c r="N213" s="8" t="s">
        <v>41</v>
      </c>
      <c r="O213" s="8" t="s">
        <v>42</v>
      </c>
      <c r="P213" s="6" t="s">
        <v>75</v>
      </c>
      <c r="Q213" s="8" t="s">
        <v>76</v>
      </c>
      <c r="R213" s="10" t="s">
        <v>1432</v>
      </c>
      <c r="S213" s="11"/>
      <c r="T213" s="6"/>
      <c r="U213" s="27" t="str">
        <f>HYPERLINK("https://media.infra-m.ru/1911/1911152/cover/1911152.jpg", "Обложка")</f>
        <v>Обложка</v>
      </c>
      <c r="V213" s="27" t="str">
        <f>HYPERLINK("https://znanium.com/catalog/product/1254831", "Ознакомиться")</f>
        <v>Ознакомиться</v>
      </c>
      <c r="W213" s="8" t="s">
        <v>371</v>
      </c>
      <c r="X213" s="6"/>
      <c r="Y213" s="6"/>
      <c r="Z213" s="6"/>
      <c r="AA213" s="6" t="s">
        <v>96</v>
      </c>
    </row>
    <row r="214" spans="1:27" s="4" customFormat="1" ht="51.95" customHeight="1">
      <c r="A214" s="5">
        <v>0</v>
      </c>
      <c r="B214" s="6" t="s">
        <v>1433</v>
      </c>
      <c r="C214" s="13">
        <v>714.9</v>
      </c>
      <c r="D214" s="8" t="s">
        <v>1434</v>
      </c>
      <c r="E214" s="8" t="s">
        <v>1435</v>
      </c>
      <c r="F214" s="8" t="s">
        <v>1425</v>
      </c>
      <c r="G214" s="6" t="s">
        <v>53</v>
      </c>
      <c r="H214" s="6" t="s">
        <v>38</v>
      </c>
      <c r="I214" s="8" t="s">
        <v>73</v>
      </c>
      <c r="J214" s="9">
        <v>1</v>
      </c>
      <c r="K214" s="9">
        <v>204</v>
      </c>
      <c r="L214" s="9">
        <v>2020</v>
      </c>
      <c r="M214" s="8" t="s">
        <v>1436</v>
      </c>
      <c r="N214" s="8" t="s">
        <v>41</v>
      </c>
      <c r="O214" s="8" t="s">
        <v>42</v>
      </c>
      <c r="P214" s="6" t="s">
        <v>75</v>
      </c>
      <c r="Q214" s="8" t="s">
        <v>76</v>
      </c>
      <c r="R214" s="10" t="s">
        <v>1437</v>
      </c>
      <c r="S214" s="11"/>
      <c r="T214" s="6" t="s">
        <v>235</v>
      </c>
      <c r="U214" s="27" t="str">
        <f>HYPERLINK("https://media.infra-m.ru/1085/1085318/cover/1085318.jpg", "Обложка")</f>
        <v>Обложка</v>
      </c>
      <c r="V214" s="27" t="str">
        <f>HYPERLINK("https://znanium.com/catalog/product/1085318", "Ознакомиться")</f>
        <v>Ознакомиться</v>
      </c>
      <c r="W214" s="8" t="s">
        <v>371</v>
      </c>
      <c r="X214" s="6"/>
      <c r="Y214" s="6"/>
      <c r="Z214" s="6"/>
      <c r="AA214" s="6" t="s">
        <v>221</v>
      </c>
    </row>
    <row r="215" spans="1:27" s="4" customFormat="1" ht="51.95" customHeight="1">
      <c r="A215" s="5">
        <v>0</v>
      </c>
      <c r="B215" s="6" t="s">
        <v>1438</v>
      </c>
      <c r="C215" s="13">
        <v>324.89999999999998</v>
      </c>
      <c r="D215" s="8" t="s">
        <v>1439</v>
      </c>
      <c r="E215" s="8" t="s">
        <v>1440</v>
      </c>
      <c r="F215" s="8" t="s">
        <v>1441</v>
      </c>
      <c r="G215" s="6" t="s">
        <v>53</v>
      </c>
      <c r="H215" s="6" t="s">
        <v>38</v>
      </c>
      <c r="I215" s="8" t="s">
        <v>73</v>
      </c>
      <c r="J215" s="9">
        <v>50</v>
      </c>
      <c r="K215" s="9">
        <v>104</v>
      </c>
      <c r="L215" s="9">
        <v>2017</v>
      </c>
      <c r="M215" s="8" t="s">
        <v>1442</v>
      </c>
      <c r="N215" s="8" t="s">
        <v>41</v>
      </c>
      <c r="O215" s="8" t="s">
        <v>42</v>
      </c>
      <c r="P215" s="6" t="s">
        <v>75</v>
      </c>
      <c r="Q215" s="8" t="s">
        <v>76</v>
      </c>
      <c r="R215" s="10" t="s">
        <v>1443</v>
      </c>
      <c r="S215" s="11"/>
      <c r="T215" s="6"/>
      <c r="U215" s="27" t="str">
        <f>HYPERLINK("https://media.infra-m.ru/0559/0559137/cover/559137.jpg", "Обложка")</f>
        <v>Обложка</v>
      </c>
      <c r="V215" s="27" t="str">
        <f>HYPERLINK("https://znanium.com/catalog/product/453302", "Ознакомиться")</f>
        <v>Ознакомиться</v>
      </c>
      <c r="W215" s="8" t="s">
        <v>384</v>
      </c>
      <c r="X215" s="6"/>
      <c r="Y215" s="6"/>
      <c r="Z215" s="6"/>
      <c r="AA215" s="6" t="s">
        <v>60</v>
      </c>
    </row>
    <row r="216" spans="1:27" s="4" customFormat="1" ht="51.95" customHeight="1">
      <c r="A216" s="5">
        <v>0</v>
      </c>
      <c r="B216" s="6" t="s">
        <v>1444</v>
      </c>
      <c r="C216" s="13">
        <v>840</v>
      </c>
      <c r="D216" s="8" t="s">
        <v>1445</v>
      </c>
      <c r="E216" s="8" t="s">
        <v>1446</v>
      </c>
      <c r="F216" s="8" t="s">
        <v>1447</v>
      </c>
      <c r="G216" s="6" t="s">
        <v>53</v>
      </c>
      <c r="H216" s="6" t="s">
        <v>38</v>
      </c>
      <c r="I216" s="8" t="s">
        <v>73</v>
      </c>
      <c r="J216" s="9">
        <v>1</v>
      </c>
      <c r="K216" s="9">
        <v>187</v>
      </c>
      <c r="L216" s="9">
        <v>2022</v>
      </c>
      <c r="M216" s="8" t="s">
        <v>1448</v>
      </c>
      <c r="N216" s="8" t="s">
        <v>41</v>
      </c>
      <c r="O216" s="8" t="s">
        <v>42</v>
      </c>
      <c r="P216" s="6" t="s">
        <v>75</v>
      </c>
      <c r="Q216" s="8" t="s">
        <v>76</v>
      </c>
      <c r="R216" s="10" t="s">
        <v>1449</v>
      </c>
      <c r="S216" s="11"/>
      <c r="T216" s="6"/>
      <c r="U216" s="27" t="str">
        <f>HYPERLINK("https://media.infra-m.ru/1859/1859979/cover/1859979.jpg", "Обложка")</f>
        <v>Обложка</v>
      </c>
      <c r="V216" s="27" t="str">
        <f>HYPERLINK("https://znanium.com/catalog/product/1859979", "Ознакомиться")</f>
        <v>Ознакомиться</v>
      </c>
      <c r="W216" s="8" t="s">
        <v>142</v>
      </c>
      <c r="X216" s="6"/>
      <c r="Y216" s="6"/>
      <c r="Z216" s="6"/>
      <c r="AA216" s="6" t="s">
        <v>151</v>
      </c>
    </row>
    <row r="217" spans="1:27" s="4" customFormat="1" ht="51.95" customHeight="1">
      <c r="A217" s="5">
        <v>0</v>
      </c>
      <c r="B217" s="6" t="s">
        <v>1450</v>
      </c>
      <c r="C217" s="13">
        <v>450</v>
      </c>
      <c r="D217" s="8" t="s">
        <v>1451</v>
      </c>
      <c r="E217" s="8" t="s">
        <v>1452</v>
      </c>
      <c r="F217" s="8" t="s">
        <v>1453</v>
      </c>
      <c r="G217" s="6" t="s">
        <v>53</v>
      </c>
      <c r="H217" s="6" t="s">
        <v>38</v>
      </c>
      <c r="I217" s="8" t="s">
        <v>39</v>
      </c>
      <c r="J217" s="9">
        <v>1</v>
      </c>
      <c r="K217" s="9">
        <v>64</v>
      </c>
      <c r="L217" s="9">
        <v>2024</v>
      </c>
      <c r="M217" s="8" t="s">
        <v>1454</v>
      </c>
      <c r="N217" s="8" t="s">
        <v>41</v>
      </c>
      <c r="O217" s="8" t="s">
        <v>42</v>
      </c>
      <c r="P217" s="6" t="s">
        <v>43</v>
      </c>
      <c r="Q217" s="8" t="s">
        <v>92</v>
      </c>
      <c r="R217" s="10" t="s">
        <v>838</v>
      </c>
      <c r="S217" s="11" t="s">
        <v>1455</v>
      </c>
      <c r="T217" s="6"/>
      <c r="U217" s="27" t="str">
        <f>HYPERLINK("https://media.infra-m.ru/1160/1160971/cover/1160971.jpg", "Обложка")</f>
        <v>Обложка</v>
      </c>
      <c r="V217" s="27" t="str">
        <f>HYPERLINK("https://znanium.com/catalog/product/1160971", "Ознакомиться")</f>
        <v>Ознакомиться</v>
      </c>
      <c r="W217" s="8" t="s">
        <v>142</v>
      </c>
      <c r="X217" s="6"/>
      <c r="Y217" s="6"/>
      <c r="Z217" s="6"/>
      <c r="AA217" s="6" t="s">
        <v>107</v>
      </c>
    </row>
    <row r="218" spans="1:27" s="4" customFormat="1" ht="51.95" customHeight="1">
      <c r="A218" s="5">
        <v>0</v>
      </c>
      <c r="B218" s="6" t="s">
        <v>1456</v>
      </c>
      <c r="C218" s="7">
        <v>2184</v>
      </c>
      <c r="D218" s="8" t="s">
        <v>1457</v>
      </c>
      <c r="E218" s="8" t="s">
        <v>1458</v>
      </c>
      <c r="F218" s="8" t="s">
        <v>1459</v>
      </c>
      <c r="G218" s="6" t="s">
        <v>37</v>
      </c>
      <c r="H218" s="6" t="s">
        <v>286</v>
      </c>
      <c r="I218" s="8" t="s">
        <v>590</v>
      </c>
      <c r="J218" s="9">
        <v>1</v>
      </c>
      <c r="K218" s="9">
        <v>576</v>
      </c>
      <c r="L218" s="9">
        <v>2024</v>
      </c>
      <c r="M218" s="8" t="s">
        <v>1460</v>
      </c>
      <c r="N218" s="8" t="s">
        <v>41</v>
      </c>
      <c r="O218" s="8" t="s">
        <v>42</v>
      </c>
      <c r="P218" s="6" t="s">
        <v>43</v>
      </c>
      <c r="Q218" s="8" t="s">
        <v>114</v>
      </c>
      <c r="R218" s="10" t="s">
        <v>115</v>
      </c>
      <c r="S218" s="11" t="s">
        <v>1461</v>
      </c>
      <c r="T218" s="6"/>
      <c r="U218" s="27" t="str">
        <f>HYPERLINK("https://media.infra-m.ru/2073/2073487/cover/2073487.jpg", "Обложка")</f>
        <v>Обложка</v>
      </c>
      <c r="V218" s="12"/>
      <c r="W218" s="8" t="s">
        <v>1462</v>
      </c>
      <c r="X218" s="6"/>
      <c r="Y218" s="6"/>
      <c r="Z218" s="6"/>
      <c r="AA218" s="6" t="s">
        <v>96</v>
      </c>
    </row>
    <row r="219" spans="1:27" s="4" customFormat="1" ht="51.95" customHeight="1">
      <c r="A219" s="5">
        <v>0</v>
      </c>
      <c r="B219" s="6" t="s">
        <v>1463</v>
      </c>
      <c r="C219" s="7">
        <v>2400</v>
      </c>
      <c r="D219" s="8" t="s">
        <v>1464</v>
      </c>
      <c r="E219" s="8" t="s">
        <v>1465</v>
      </c>
      <c r="F219" s="8" t="s">
        <v>1466</v>
      </c>
      <c r="G219" s="6" t="s">
        <v>37</v>
      </c>
      <c r="H219" s="6" t="s">
        <v>38</v>
      </c>
      <c r="I219" s="8" t="s">
        <v>112</v>
      </c>
      <c r="J219" s="9">
        <v>1</v>
      </c>
      <c r="K219" s="9">
        <v>552</v>
      </c>
      <c r="L219" s="9">
        <v>2023</v>
      </c>
      <c r="M219" s="8" t="s">
        <v>1467</v>
      </c>
      <c r="N219" s="8" t="s">
        <v>41</v>
      </c>
      <c r="O219" s="8" t="s">
        <v>42</v>
      </c>
      <c r="P219" s="6" t="s">
        <v>103</v>
      </c>
      <c r="Q219" s="8" t="s">
        <v>114</v>
      </c>
      <c r="R219" s="10" t="s">
        <v>1468</v>
      </c>
      <c r="S219" s="11" t="s">
        <v>1469</v>
      </c>
      <c r="T219" s="6"/>
      <c r="U219" s="27" t="str">
        <f>HYPERLINK("https://media.infra-m.ru/1893/1893209/cover/1893209.jpg", "Обложка")</f>
        <v>Обложка</v>
      </c>
      <c r="V219" s="27" t="str">
        <f>HYPERLINK("https://znanium.com/catalog/product/1893209", "Ознакомиться")</f>
        <v>Ознакомиться</v>
      </c>
      <c r="W219" s="8" t="s">
        <v>1462</v>
      </c>
      <c r="X219" s="6"/>
      <c r="Y219" s="6" t="s">
        <v>30</v>
      </c>
      <c r="Z219" s="6"/>
      <c r="AA219" s="6" t="s">
        <v>334</v>
      </c>
    </row>
    <row r="220" spans="1:27" s="4" customFormat="1" ht="42" customHeight="1">
      <c r="A220" s="5">
        <v>0</v>
      </c>
      <c r="B220" s="6" t="s">
        <v>1470</v>
      </c>
      <c r="C220" s="7">
        <v>2080</v>
      </c>
      <c r="D220" s="8" t="s">
        <v>1471</v>
      </c>
      <c r="E220" s="8" t="s">
        <v>1472</v>
      </c>
      <c r="F220" s="8" t="s">
        <v>1473</v>
      </c>
      <c r="G220" s="6" t="s">
        <v>111</v>
      </c>
      <c r="H220" s="6" t="s">
        <v>38</v>
      </c>
      <c r="I220" s="8" t="s">
        <v>156</v>
      </c>
      <c r="J220" s="9">
        <v>1</v>
      </c>
      <c r="K220" s="9">
        <v>1111</v>
      </c>
      <c r="L220" s="9">
        <v>2022</v>
      </c>
      <c r="M220" s="8" t="s">
        <v>1474</v>
      </c>
      <c r="N220" s="8" t="s">
        <v>41</v>
      </c>
      <c r="O220" s="8" t="s">
        <v>42</v>
      </c>
      <c r="P220" s="6" t="s">
        <v>1035</v>
      </c>
      <c r="Q220" s="8" t="s">
        <v>123</v>
      </c>
      <c r="R220" s="10" t="s">
        <v>325</v>
      </c>
      <c r="S220" s="11"/>
      <c r="T220" s="6"/>
      <c r="U220" s="27" t="str">
        <f>HYPERLINK("https://media.infra-m.ru/1841/1841412/cover/1841412.jpg", "Обложка")</f>
        <v>Обложка</v>
      </c>
      <c r="V220" s="27" t="str">
        <f>HYPERLINK("https://znanium.com/catalog/product/1841412", "Ознакомиться")</f>
        <v>Ознакомиться</v>
      </c>
      <c r="W220" s="8" t="s">
        <v>142</v>
      </c>
      <c r="X220" s="6"/>
      <c r="Y220" s="6"/>
      <c r="Z220" s="6"/>
      <c r="AA220" s="6" t="s">
        <v>86</v>
      </c>
    </row>
    <row r="221" spans="1:27" s="4" customFormat="1" ht="42" customHeight="1">
      <c r="A221" s="5">
        <v>0</v>
      </c>
      <c r="B221" s="6" t="s">
        <v>1475</v>
      </c>
      <c r="C221" s="13">
        <v>567</v>
      </c>
      <c r="D221" s="8" t="s">
        <v>1476</v>
      </c>
      <c r="E221" s="8" t="s">
        <v>1477</v>
      </c>
      <c r="F221" s="8" t="s">
        <v>1478</v>
      </c>
      <c r="G221" s="6" t="s">
        <v>53</v>
      </c>
      <c r="H221" s="6" t="s">
        <v>286</v>
      </c>
      <c r="I221" s="8" t="s">
        <v>39</v>
      </c>
      <c r="J221" s="9">
        <v>1</v>
      </c>
      <c r="K221" s="9">
        <v>96</v>
      </c>
      <c r="L221" s="9">
        <v>2023</v>
      </c>
      <c r="M221" s="8" t="s">
        <v>1479</v>
      </c>
      <c r="N221" s="8" t="s">
        <v>41</v>
      </c>
      <c r="O221" s="8" t="s">
        <v>42</v>
      </c>
      <c r="P221" s="6" t="s">
        <v>43</v>
      </c>
      <c r="Q221" s="8" t="s">
        <v>123</v>
      </c>
      <c r="R221" s="10" t="s">
        <v>1480</v>
      </c>
      <c r="S221" s="11"/>
      <c r="T221" s="6"/>
      <c r="U221" s="27" t="str">
        <f>HYPERLINK("https://media.infra-m.ru/1911/1911124/cover/1911124.jpg", "Обложка")</f>
        <v>Обложка</v>
      </c>
      <c r="V221" s="27" t="str">
        <f>HYPERLINK("https://znanium.com/catalog/product/1861347", "Ознакомиться")</f>
        <v>Ознакомиться</v>
      </c>
      <c r="W221" s="8" t="s">
        <v>142</v>
      </c>
      <c r="X221" s="6"/>
      <c r="Y221" s="6"/>
      <c r="Z221" s="6"/>
      <c r="AA221" s="6" t="s">
        <v>221</v>
      </c>
    </row>
    <row r="222" spans="1:27" s="4" customFormat="1" ht="44.1" customHeight="1">
      <c r="A222" s="5">
        <v>0</v>
      </c>
      <c r="B222" s="6" t="s">
        <v>1481</v>
      </c>
      <c r="C222" s="13">
        <v>224.9</v>
      </c>
      <c r="D222" s="8" t="s">
        <v>1482</v>
      </c>
      <c r="E222" s="8" t="s">
        <v>1483</v>
      </c>
      <c r="F222" s="8" t="s">
        <v>1484</v>
      </c>
      <c r="G222" s="6" t="s">
        <v>53</v>
      </c>
      <c r="H222" s="6" t="s">
        <v>38</v>
      </c>
      <c r="I222" s="8" t="s">
        <v>39</v>
      </c>
      <c r="J222" s="9">
        <v>1</v>
      </c>
      <c r="K222" s="9">
        <v>83</v>
      </c>
      <c r="L222" s="9">
        <v>2019</v>
      </c>
      <c r="M222" s="8" t="s">
        <v>1485</v>
      </c>
      <c r="N222" s="8" t="s">
        <v>41</v>
      </c>
      <c r="O222" s="8" t="s">
        <v>42</v>
      </c>
      <c r="P222" s="6" t="s">
        <v>43</v>
      </c>
      <c r="Q222" s="8" t="s">
        <v>92</v>
      </c>
      <c r="R222" s="10" t="s">
        <v>77</v>
      </c>
      <c r="S222" s="11"/>
      <c r="T222" s="6"/>
      <c r="U222" s="27" t="str">
        <f>HYPERLINK("https://media.infra-m.ru/0980/0980120/cover/980120.jpg", "Обложка")</f>
        <v>Обложка</v>
      </c>
      <c r="V222" s="27" t="str">
        <f>HYPERLINK("https://znanium.com/catalog/product/980120", "Ознакомиться")</f>
        <v>Ознакомиться</v>
      </c>
      <c r="W222" s="8" t="s">
        <v>472</v>
      </c>
      <c r="X222" s="6"/>
      <c r="Y222" s="6"/>
      <c r="Z222" s="6"/>
      <c r="AA222" s="6" t="s">
        <v>96</v>
      </c>
    </row>
    <row r="223" spans="1:27" s="4" customFormat="1" ht="51.95" customHeight="1">
      <c r="A223" s="5">
        <v>0</v>
      </c>
      <c r="B223" s="6" t="s">
        <v>1486</v>
      </c>
      <c r="C223" s="13">
        <v>754.9</v>
      </c>
      <c r="D223" s="8" t="s">
        <v>1487</v>
      </c>
      <c r="E223" s="8" t="s">
        <v>1488</v>
      </c>
      <c r="F223" s="8" t="s">
        <v>1489</v>
      </c>
      <c r="G223" s="6" t="s">
        <v>53</v>
      </c>
      <c r="H223" s="6" t="s">
        <v>1490</v>
      </c>
      <c r="I223" s="8"/>
      <c r="J223" s="9">
        <v>1</v>
      </c>
      <c r="K223" s="9">
        <v>320</v>
      </c>
      <c r="L223" s="9">
        <v>2017</v>
      </c>
      <c r="M223" s="8" t="s">
        <v>1491</v>
      </c>
      <c r="N223" s="8" t="s">
        <v>41</v>
      </c>
      <c r="O223" s="8" t="s">
        <v>42</v>
      </c>
      <c r="P223" s="6" t="s">
        <v>1492</v>
      </c>
      <c r="Q223" s="8" t="s">
        <v>76</v>
      </c>
      <c r="R223" s="10" t="s">
        <v>1493</v>
      </c>
      <c r="S223" s="11"/>
      <c r="T223" s="6"/>
      <c r="U223" s="27" t="str">
        <f>HYPERLINK("https://media.infra-m.ru/0770/0770295/cover/770295.jpg", "Обложка")</f>
        <v>Обложка</v>
      </c>
      <c r="V223" s="27" t="str">
        <f>HYPERLINK("https://znanium.com/catalog/product/1429040", "Ознакомиться")</f>
        <v>Ознакомиться</v>
      </c>
      <c r="W223" s="8" t="s">
        <v>1494</v>
      </c>
      <c r="X223" s="6"/>
      <c r="Y223" s="6"/>
      <c r="Z223" s="6"/>
      <c r="AA223" s="6" t="s">
        <v>96</v>
      </c>
    </row>
    <row r="224" spans="1:27" s="4" customFormat="1" ht="51.95" customHeight="1">
      <c r="A224" s="5">
        <v>0</v>
      </c>
      <c r="B224" s="6" t="s">
        <v>1495</v>
      </c>
      <c r="C224" s="13">
        <v>830</v>
      </c>
      <c r="D224" s="8" t="s">
        <v>1496</v>
      </c>
      <c r="E224" s="8" t="s">
        <v>1497</v>
      </c>
      <c r="F224" s="8" t="s">
        <v>1498</v>
      </c>
      <c r="G224" s="6" t="s">
        <v>53</v>
      </c>
      <c r="H224" s="6" t="s">
        <v>38</v>
      </c>
      <c r="I224" s="8" t="s">
        <v>1499</v>
      </c>
      <c r="J224" s="9">
        <v>1</v>
      </c>
      <c r="K224" s="9">
        <v>184</v>
      </c>
      <c r="L224" s="9">
        <v>2023</v>
      </c>
      <c r="M224" s="8" t="s">
        <v>1500</v>
      </c>
      <c r="N224" s="8" t="s">
        <v>41</v>
      </c>
      <c r="O224" s="8" t="s">
        <v>42</v>
      </c>
      <c r="P224" s="6" t="s">
        <v>1501</v>
      </c>
      <c r="Q224" s="8" t="s">
        <v>76</v>
      </c>
      <c r="R224" s="10" t="s">
        <v>1502</v>
      </c>
      <c r="S224" s="11"/>
      <c r="T224" s="6"/>
      <c r="U224" s="27" t="str">
        <f>HYPERLINK("https://media.infra-m.ru/1911/1911125/cover/1911125.jpg", "Обложка")</f>
        <v>Обложка</v>
      </c>
      <c r="V224" s="27" t="str">
        <f>HYPERLINK("https://znanium.com/catalog/product/1911125", "Ознакомиться")</f>
        <v>Ознакомиться</v>
      </c>
      <c r="W224" s="8" t="s">
        <v>799</v>
      </c>
      <c r="X224" s="6"/>
      <c r="Y224" s="6"/>
      <c r="Z224" s="6"/>
      <c r="AA224" s="6" t="s">
        <v>107</v>
      </c>
    </row>
    <row r="225" spans="1:27" s="4" customFormat="1" ht="51.95" customHeight="1">
      <c r="A225" s="5">
        <v>0</v>
      </c>
      <c r="B225" s="6" t="s">
        <v>1503</v>
      </c>
      <c r="C225" s="13">
        <v>584.9</v>
      </c>
      <c r="D225" s="8" t="s">
        <v>1504</v>
      </c>
      <c r="E225" s="8" t="s">
        <v>1505</v>
      </c>
      <c r="F225" s="8" t="s">
        <v>1506</v>
      </c>
      <c r="G225" s="6" t="s">
        <v>53</v>
      </c>
      <c r="H225" s="6" t="s">
        <v>286</v>
      </c>
      <c r="I225" s="8" t="s">
        <v>39</v>
      </c>
      <c r="J225" s="9">
        <v>1</v>
      </c>
      <c r="K225" s="9">
        <v>96</v>
      </c>
      <c r="L225" s="9">
        <v>2023</v>
      </c>
      <c r="M225" s="8" t="s">
        <v>1507</v>
      </c>
      <c r="N225" s="8" t="s">
        <v>41</v>
      </c>
      <c r="O225" s="8" t="s">
        <v>42</v>
      </c>
      <c r="P225" s="6" t="s">
        <v>43</v>
      </c>
      <c r="Q225" s="8" t="s">
        <v>92</v>
      </c>
      <c r="R225" s="10" t="s">
        <v>1190</v>
      </c>
      <c r="S225" s="11" t="s">
        <v>1508</v>
      </c>
      <c r="T225" s="6"/>
      <c r="U225" s="27" t="str">
        <f>HYPERLINK("https://media.infra-m.ru/1911/1911126/cover/1911126.jpg", "Обложка")</f>
        <v>Обложка</v>
      </c>
      <c r="V225" s="27" t="str">
        <f>HYPERLINK("https://znanium.com/catalog/product/1595188", "Ознакомиться")</f>
        <v>Ознакомиться</v>
      </c>
      <c r="W225" s="8" t="s">
        <v>142</v>
      </c>
      <c r="X225" s="6"/>
      <c r="Y225" s="6"/>
      <c r="Z225" s="6"/>
      <c r="AA225" s="6" t="s">
        <v>221</v>
      </c>
    </row>
    <row r="226" spans="1:27" s="4" customFormat="1" ht="42" customHeight="1">
      <c r="A226" s="5">
        <v>0</v>
      </c>
      <c r="B226" s="6" t="s">
        <v>1509</v>
      </c>
      <c r="C226" s="13">
        <v>774.9</v>
      </c>
      <c r="D226" s="8" t="s">
        <v>1510</v>
      </c>
      <c r="E226" s="8" t="s">
        <v>1511</v>
      </c>
      <c r="F226" s="8" t="s">
        <v>1512</v>
      </c>
      <c r="G226" s="6" t="s">
        <v>53</v>
      </c>
      <c r="H226" s="6" t="s">
        <v>65</v>
      </c>
      <c r="I226" s="8" t="s">
        <v>339</v>
      </c>
      <c r="J226" s="9">
        <v>1</v>
      </c>
      <c r="K226" s="9">
        <v>222</v>
      </c>
      <c r="L226" s="9">
        <v>2020</v>
      </c>
      <c r="M226" s="8" t="s">
        <v>1513</v>
      </c>
      <c r="N226" s="8" t="s">
        <v>41</v>
      </c>
      <c r="O226" s="8" t="s">
        <v>42</v>
      </c>
      <c r="P226" s="6" t="s">
        <v>1492</v>
      </c>
      <c r="Q226" s="8" t="s">
        <v>76</v>
      </c>
      <c r="R226" s="10" t="s">
        <v>77</v>
      </c>
      <c r="S226" s="11"/>
      <c r="T226" s="6"/>
      <c r="U226" s="27" t="str">
        <f>HYPERLINK("https://media.infra-m.ru/1089/1089085/cover/1089085.jpg", "Обложка")</f>
        <v>Обложка</v>
      </c>
      <c r="V226" s="27" t="str">
        <f>HYPERLINK("https://znanium.com/catalog/product/959954", "Ознакомиться")</f>
        <v>Ознакомиться</v>
      </c>
      <c r="W226" s="8" t="s">
        <v>342</v>
      </c>
      <c r="X226" s="6"/>
      <c r="Y226" s="6"/>
      <c r="Z226" s="6"/>
      <c r="AA226" s="6" t="s">
        <v>96</v>
      </c>
    </row>
    <row r="227" spans="1:27" s="4" customFormat="1" ht="42" customHeight="1">
      <c r="A227" s="5">
        <v>0</v>
      </c>
      <c r="B227" s="6" t="s">
        <v>1514</v>
      </c>
      <c r="C227" s="13">
        <v>650</v>
      </c>
      <c r="D227" s="8" t="s">
        <v>1515</v>
      </c>
      <c r="E227" s="8" t="s">
        <v>1516</v>
      </c>
      <c r="F227" s="8" t="s">
        <v>323</v>
      </c>
      <c r="G227" s="6" t="s">
        <v>111</v>
      </c>
      <c r="H227" s="6" t="s">
        <v>38</v>
      </c>
      <c r="I227" s="8" t="s">
        <v>156</v>
      </c>
      <c r="J227" s="9">
        <v>1</v>
      </c>
      <c r="K227" s="9">
        <v>135</v>
      </c>
      <c r="L227" s="9">
        <v>2022</v>
      </c>
      <c r="M227" s="8" t="s">
        <v>1517</v>
      </c>
      <c r="N227" s="8" t="s">
        <v>41</v>
      </c>
      <c r="O227" s="8" t="s">
        <v>42</v>
      </c>
      <c r="P227" s="6" t="s">
        <v>43</v>
      </c>
      <c r="Q227" s="8" t="s">
        <v>123</v>
      </c>
      <c r="R227" s="10" t="s">
        <v>664</v>
      </c>
      <c r="S227" s="11"/>
      <c r="T227" s="6"/>
      <c r="U227" s="27" t="str">
        <f>HYPERLINK("https://media.infra-m.ru/1743/1743895/cover/1743895.jpg", "Обложка")</f>
        <v>Обложка</v>
      </c>
      <c r="V227" s="27" t="str">
        <f>HYPERLINK("https://znanium.com/catalog/product/1743895", "Ознакомиться")</f>
        <v>Ознакомиться</v>
      </c>
      <c r="W227" s="8" t="s">
        <v>142</v>
      </c>
      <c r="X227" s="6"/>
      <c r="Y227" s="6"/>
      <c r="Z227" s="6"/>
      <c r="AA227" s="6" t="s">
        <v>334</v>
      </c>
    </row>
    <row r="228" spans="1:27" s="4" customFormat="1" ht="42" customHeight="1">
      <c r="A228" s="5">
        <v>0</v>
      </c>
      <c r="B228" s="6" t="s">
        <v>1518</v>
      </c>
      <c r="C228" s="7">
        <v>1704.9</v>
      </c>
      <c r="D228" s="8" t="s">
        <v>1519</v>
      </c>
      <c r="E228" s="8" t="s">
        <v>1520</v>
      </c>
      <c r="F228" s="8" t="s">
        <v>1521</v>
      </c>
      <c r="G228" s="6" t="s">
        <v>111</v>
      </c>
      <c r="H228" s="6" t="s">
        <v>38</v>
      </c>
      <c r="I228" s="8" t="s">
        <v>73</v>
      </c>
      <c r="J228" s="9">
        <v>1</v>
      </c>
      <c r="K228" s="9">
        <v>378</v>
      </c>
      <c r="L228" s="9">
        <v>2023</v>
      </c>
      <c r="M228" s="8" t="s">
        <v>1522</v>
      </c>
      <c r="N228" s="8" t="s">
        <v>41</v>
      </c>
      <c r="O228" s="8" t="s">
        <v>42</v>
      </c>
      <c r="P228" s="6" t="s">
        <v>75</v>
      </c>
      <c r="Q228" s="8" t="s">
        <v>76</v>
      </c>
      <c r="R228" s="10" t="s">
        <v>77</v>
      </c>
      <c r="S228" s="11"/>
      <c r="T228" s="6"/>
      <c r="U228" s="27" t="str">
        <f>HYPERLINK("https://media.infra-m.ru/1976/1976151/cover/1976151.jpg", "Обложка")</f>
        <v>Обложка</v>
      </c>
      <c r="V228" s="27" t="str">
        <f>HYPERLINK("https://znanium.com/catalog/product/1118474", "Ознакомиться")</f>
        <v>Ознакомиться</v>
      </c>
      <c r="W228" s="8" t="s">
        <v>371</v>
      </c>
      <c r="X228" s="6"/>
      <c r="Y228" s="6"/>
      <c r="Z228" s="6"/>
      <c r="AA228" s="6" t="s">
        <v>273</v>
      </c>
    </row>
    <row r="229" spans="1:27" s="4" customFormat="1" ht="51.95" customHeight="1">
      <c r="A229" s="5">
        <v>0</v>
      </c>
      <c r="B229" s="6" t="s">
        <v>1523</v>
      </c>
      <c r="C229" s="13">
        <v>530</v>
      </c>
      <c r="D229" s="8" t="s">
        <v>1524</v>
      </c>
      <c r="E229" s="8" t="s">
        <v>1525</v>
      </c>
      <c r="F229" s="8" t="s">
        <v>1526</v>
      </c>
      <c r="G229" s="6" t="s">
        <v>53</v>
      </c>
      <c r="H229" s="6" t="s">
        <v>286</v>
      </c>
      <c r="I229" s="8"/>
      <c r="J229" s="9">
        <v>1</v>
      </c>
      <c r="K229" s="9">
        <v>104</v>
      </c>
      <c r="L229" s="9">
        <v>2023</v>
      </c>
      <c r="M229" s="8" t="s">
        <v>1527</v>
      </c>
      <c r="N229" s="8" t="s">
        <v>41</v>
      </c>
      <c r="O229" s="8" t="s">
        <v>42</v>
      </c>
      <c r="P229" s="6" t="s">
        <v>1492</v>
      </c>
      <c r="Q229" s="8" t="s">
        <v>76</v>
      </c>
      <c r="R229" s="10" t="s">
        <v>1528</v>
      </c>
      <c r="S229" s="11"/>
      <c r="T229" s="6"/>
      <c r="U229" s="27" t="str">
        <f>HYPERLINK("https://media.infra-m.ru/1915/1915723/cover/1915723.jpg", "Обложка")</f>
        <v>Обложка</v>
      </c>
      <c r="V229" s="27" t="str">
        <f>HYPERLINK("https://znanium.com/catalog/product/1915723", "Ознакомиться")</f>
        <v>Ознакомиться</v>
      </c>
      <c r="W229" s="8" t="s">
        <v>1179</v>
      </c>
      <c r="X229" s="6"/>
      <c r="Y229" s="6"/>
      <c r="Z229" s="6"/>
      <c r="AA229" s="6" t="s">
        <v>221</v>
      </c>
    </row>
    <row r="230" spans="1:27" s="14" customFormat="1" ht="21.95" customHeight="1"/>
    <row r="231" spans="1:27" ht="15.95" customHeight="1">
      <c r="A231" s="24" t="s">
        <v>23</v>
      </c>
      <c r="B231" s="24"/>
    </row>
    <row r="232" spans="1:27" s="15" customFormat="1" ht="12.95" customHeight="1"/>
    <row r="233" spans="1:27" s="15" customFormat="1" ht="12.95" customHeight="1">
      <c r="A233" s="25" t="s">
        <v>1529</v>
      </c>
      <c r="B233" s="25"/>
      <c r="C233" s="25" t="s">
        <v>1530</v>
      </c>
      <c r="D233" s="25"/>
      <c r="E233" s="25"/>
    </row>
    <row r="234" spans="1:27" s="15" customFormat="1" ht="12.95" customHeight="1">
      <c r="A234" s="25" t="s">
        <v>1531</v>
      </c>
      <c r="B234" s="25"/>
      <c r="C234" s="25" t="s">
        <v>1532</v>
      </c>
      <c r="D234" s="25"/>
      <c r="E234" s="25"/>
    </row>
    <row r="235" spans="1:27" s="15" customFormat="1" ht="12.95" customHeight="1">
      <c r="A235" s="25" t="s">
        <v>1533</v>
      </c>
      <c r="B235" s="25"/>
      <c r="C235" s="25" t="s">
        <v>1534</v>
      </c>
      <c r="D235" s="25"/>
      <c r="E235" s="25"/>
    </row>
    <row r="236" spans="1:27" s="15" customFormat="1" ht="12.95" customHeight="1">
      <c r="A236" s="25" t="s">
        <v>1535</v>
      </c>
      <c r="B236" s="25"/>
      <c r="C236" s="25" t="s">
        <v>1532</v>
      </c>
      <c r="D236" s="25"/>
      <c r="E236" s="25"/>
    </row>
    <row r="237" spans="1:27" s="15" customFormat="1" ht="12.95" customHeight="1">
      <c r="A237" s="25" t="s">
        <v>1536</v>
      </c>
      <c r="B237" s="25"/>
      <c r="C237" s="25" t="s">
        <v>1537</v>
      </c>
      <c r="D237" s="25"/>
      <c r="E237" s="25"/>
    </row>
    <row r="238" spans="1:27" s="15" customFormat="1" ht="12.95" customHeight="1">
      <c r="A238" s="25" t="s">
        <v>1538</v>
      </c>
      <c r="B238" s="25"/>
      <c r="C238" s="25" t="s">
        <v>1539</v>
      </c>
      <c r="D238" s="25"/>
      <c r="E238" s="25"/>
    </row>
    <row r="239" spans="1:27" s="15" customFormat="1" ht="12.95" customHeight="1">
      <c r="A239" s="25" t="s">
        <v>1540</v>
      </c>
      <c r="B239" s="25"/>
      <c r="C239" s="25" t="s">
        <v>1541</v>
      </c>
      <c r="D239" s="25"/>
      <c r="E239" s="25"/>
    </row>
    <row r="240" spans="1:27" s="15" customFormat="1" ht="12.95" customHeight="1">
      <c r="A240" s="25" t="s">
        <v>1542</v>
      </c>
      <c r="B240" s="25"/>
      <c r="C240" s="25" t="s">
        <v>1543</v>
      </c>
      <c r="D240" s="25"/>
      <c r="E240" s="25"/>
    </row>
    <row r="241" spans="1:5" s="15" customFormat="1" ht="12.95" customHeight="1">
      <c r="A241" s="25" t="s">
        <v>1544</v>
      </c>
      <c r="B241" s="25"/>
      <c r="C241" s="25" t="s">
        <v>1541</v>
      </c>
      <c r="D241" s="25"/>
      <c r="E241" s="25"/>
    </row>
    <row r="242" spans="1:5" s="15" customFormat="1" ht="12.95" customHeight="1">
      <c r="A242" s="25" t="s">
        <v>1545</v>
      </c>
      <c r="B242" s="25"/>
      <c r="C242" s="25" t="s">
        <v>1546</v>
      </c>
      <c r="D242" s="25"/>
      <c r="E242" s="25"/>
    </row>
    <row r="243" spans="1:5" s="15" customFormat="1" ht="12.95" customHeight="1">
      <c r="A243" s="25" t="s">
        <v>1547</v>
      </c>
      <c r="B243" s="25"/>
      <c r="C243" s="25" t="s">
        <v>1548</v>
      </c>
      <c r="D243" s="25"/>
      <c r="E243" s="25"/>
    </row>
    <row r="244" spans="1:5" s="15" customFormat="1" ht="12.95" customHeight="1">
      <c r="A244" s="25" t="s">
        <v>1549</v>
      </c>
      <c r="B244" s="25"/>
      <c r="C244" s="25" t="s">
        <v>1550</v>
      </c>
      <c r="D244" s="25"/>
      <c r="E244" s="25"/>
    </row>
    <row r="245" spans="1:5" s="15" customFormat="1" ht="12.95" customHeight="1">
      <c r="A245" s="25" t="s">
        <v>1551</v>
      </c>
      <c r="B245" s="25"/>
      <c r="C245" s="25" t="s">
        <v>1552</v>
      </c>
      <c r="D245" s="25"/>
      <c r="E245" s="25"/>
    </row>
    <row r="246" spans="1:5" s="15" customFormat="1" ht="12.95" customHeight="1">
      <c r="A246" s="25" t="s">
        <v>1553</v>
      </c>
      <c r="B246" s="25"/>
      <c r="C246" s="25" t="s">
        <v>1548</v>
      </c>
      <c r="D246" s="25"/>
      <c r="E246" s="25"/>
    </row>
    <row r="247" spans="1:5" s="15" customFormat="1" ht="12.95" customHeight="1">
      <c r="A247" s="25" t="s">
        <v>1554</v>
      </c>
      <c r="B247" s="25"/>
      <c r="C247" s="25" t="s">
        <v>1550</v>
      </c>
      <c r="D247" s="25"/>
      <c r="E247" s="25"/>
    </row>
    <row r="248" spans="1:5" s="15" customFormat="1" ht="12.95" customHeight="1">
      <c r="A248" s="25" t="s">
        <v>1555</v>
      </c>
      <c r="B248" s="25"/>
      <c r="C248" s="25" t="s">
        <v>1552</v>
      </c>
      <c r="D248" s="25"/>
      <c r="E248" s="25"/>
    </row>
    <row r="249" spans="1:5" s="15" customFormat="1" ht="12.95" customHeight="1">
      <c r="A249" s="25" t="s">
        <v>1556</v>
      </c>
      <c r="B249" s="25"/>
      <c r="C249" s="25" t="s">
        <v>1557</v>
      </c>
      <c r="D249" s="25"/>
      <c r="E249" s="25"/>
    </row>
    <row r="250" spans="1:5" s="15" customFormat="1" ht="12.95" customHeight="1">
      <c r="A250" s="25" t="s">
        <v>1558</v>
      </c>
      <c r="B250" s="25"/>
      <c r="C250" s="25" t="s">
        <v>1559</v>
      </c>
      <c r="D250" s="25"/>
      <c r="E250" s="25"/>
    </row>
    <row r="251" spans="1:5" s="15" customFormat="1" ht="12.95" customHeight="1">
      <c r="A251" s="25" t="s">
        <v>1560</v>
      </c>
      <c r="B251" s="25"/>
      <c r="C251" s="25" t="s">
        <v>1559</v>
      </c>
      <c r="D251" s="25"/>
      <c r="E251" s="25"/>
    </row>
    <row r="252" spans="1:5" s="15" customFormat="1" ht="12.95" customHeight="1">
      <c r="A252" s="25" t="s">
        <v>1561</v>
      </c>
      <c r="B252" s="25"/>
      <c r="C252" s="25" t="s">
        <v>1562</v>
      </c>
      <c r="D252" s="25"/>
      <c r="E252" s="25"/>
    </row>
    <row r="253" spans="1:5" s="15" customFormat="1" ht="12.95" customHeight="1">
      <c r="A253" s="25" t="s">
        <v>1563</v>
      </c>
      <c r="B253" s="25"/>
      <c r="C253" s="25" t="s">
        <v>1564</v>
      </c>
      <c r="D253" s="25"/>
      <c r="E253" s="25"/>
    </row>
    <row r="254" spans="1:5" s="15" customFormat="1" ht="12.95" customHeight="1">
      <c r="A254" s="25" t="s">
        <v>1565</v>
      </c>
      <c r="B254" s="25"/>
      <c r="C254" s="25" t="s">
        <v>1566</v>
      </c>
      <c r="D254" s="25"/>
      <c r="E254" s="25"/>
    </row>
    <row r="255" spans="1:5" s="15" customFormat="1" ht="12.95" customHeight="1">
      <c r="A255" s="25" t="s">
        <v>1567</v>
      </c>
      <c r="B255" s="25"/>
      <c r="C255" s="25" t="s">
        <v>1568</v>
      </c>
      <c r="D255" s="25"/>
      <c r="E255" s="25"/>
    </row>
    <row r="256" spans="1:5" s="15" customFormat="1" ht="12.95" customHeight="1">
      <c r="A256" s="25" t="s">
        <v>1569</v>
      </c>
      <c r="B256" s="25"/>
      <c r="C256" s="25" t="s">
        <v>1570</v>
      </c>
      <c r="D256" s="25"/>
      <c r="E256" s="25"/>
    </row>
    <row r="257" spans="1:5" s="15" customFormat="1" ht="12.95" customHeight="1">
      <c r="A257" s="25" t="s">
        <v>1067</v>
      </c>
      <c r="B257" s="25"/>
      <c r="C257" s="25" t="s">
        <v>1571</v>
      </c>
      <c r="D257" s="25"/>
      <c r="E257" s="25"/>
    </row>
    <row r="258" spans="1:5" s="15" customFormat="1" ht="12.95" customHeight="1">
      <c r="A258" s="25" t="s">
        <v>1572</v>
      </c>
      <c r="B258" s="25"/>
      <c r="C258" s="25" t="s">
        <v>1573</v>
      </c>
      <c r="D258" s="25"/>
      <c r="E258" s="25"/>
    </row>
    <row r="259" spans="1:5" s="15" customFormat="1" ht="12.95" customHeight="1">
      <c r="A259" s="25" t="s">
        <v>1574</v>
      </c>
      <c r="B259" s="25"/>
      <c r="C259" s="25" t="s">
        <v>1571</v>
      </c>
      <c r="D259" s="25"/>
      <c r="E259" s="25"/>
    </row>
    <row r="260" spans="1:5" s="15" customFormat="1" ht="12.95" customHeight="1">
      <c r="A260" s="25" t="s">
        <v>1575</v>
      </c>
      <c r="B260" s="25"/>
      <c r="C260" s="25" t="s">
        <v>1576</v>
      </c>
      <c r="D260" s="25"/>
      <c r="E260" s="25"/>
    </row>
    <row r="261" spans="1:5" s="15" customFormat="1" ht="12.95" customHeight="1">
      <c r="A261" s="25" t="s">
        <v>1577</v>
      </c>
      <c r="B261" s="25"/>
      <c r="C261" s="25" t="s">
        <v>1578</v>
      </c>
      <c r="D261" s="25"/>
      <c r="E261" s="25"/>
    </row>
    <row r="262" spans="1:5" s="15" customFormat="1" ht="26.1" customHeight="1">
      <c r="A262" s="25" t="s">
        <v>1579</v>
      </c>
      <c r="B262" s="25"/>
      <c r="C262" s="25" t="s">
        <v>1580</v>
      </c>
      <c r="D262" s="25"/>
      <c r="E262" s="25"/>
    </row>
    <row r="263" spans="1:5" s="15" customFormat="1" ht="12.95" customHeight="1">
      <c r="A263" s="25" t="s">
        <v>1581</v>
      </c>
      <c r="B263" s="25"/>
      <c r="C263" s="25" t="s">
        <v>1582</v>
      </c>
      <c r="D263" s="25"/>
      <c r="E263" s="25"/>
    </row>
    <row r="264" spans="1:5" s="15" customFormat="1" ht="12.95" customHeight="1">
      <c r="A264" s="25" t="s">
        <v>1583</v>
      </c>
      <c r="B264" s="25"/>
      <c r="C264" s="25" t="s">
        <v>1584</v>
      </c>
      <c r="D264" s="25"/>
      <c r="E264" s="25"/>
    </row>
    <row r="265" spans="1:5" s="15" customFormat="1" ht="12.95" customHeight="1">
      <c r="A265" s="25" t="s">
        <v>1585</v>
      </c>
      <c r="B265" s="25"/>
      <c r="C265" s="25" t="s">
        <v>1586</v>
      </c>
      <c r="D265" s="25"/>
      <c r="E265" s="25"/>
    </row>
    <row r="266" spans="1:5" s="15" customFormat="1" ht="12.95" customHeight="1">
      <c r="A266" s="25" t="s">
        <v>1587</v>
      </c>
      <c r="B266" s="25"/>
      <c r="C266" s="25" t="s">
        <v>1588</v>
      </c>
      <c r="D266" s="25"/>
      <c r="E266" s="25"/>
    </row>
    <row r="267" spans="1:5" s="15" customFormat="1" ht="12.95" customHeight="1">
      <c r="A267" s="25" t="s">
        <v>1589</v>
      </c>
      <c r="B267" s="25"/>
      <c r="C267" s="25" t="s">
        <v>1590</v>
      </c>
      <c r="D267" s="25"/>
      <c r="E267" s="25"/>
    </row>
    <row r="268" spans="1:5" s="15" customFormat="1" ht="12.95" customHeight="1">
      <c r="A268" s="25" t="s">
        <v>1591</v>
      </c>
      <c r="B268" s="25"/>
      <c r="C268" s="25" t="s">
        <v>1592</v>
      </c>
      <c r="D268" s="25"/>
      <c r="E268" s="25"/>
    </row>
    <row r="269" spans="1:5" s="15" customFormat="1" ht="26.1" customHeight="1">
      <c r="A269" s="25" t="s">
        <v>1593</v>
      </c>
      <c r="B269" s="25"/>
      <c r="C269" s="25" t="s">
        <v>1580</v>
      </c>
      <c r="D269" s="25"/>
      <c r="E269" s="25"/>
    </row>
    <row r="270" spans="1:5" s="15" customFormat="1" ht="12.95" customHeight="1">
      <c r="A270" s="25" t="s">
        <v>1594</v>
      </c>
      <c r="B270" s="25"/>
      <c r="C270" s="25" t="s">
        <v>1595</v>
      </c>
      <c r="D270" s="25"/>
      <c r="E270" s="25"/>
    </row>
    <row r="271" spans="1:5" s="15" customFormat="1" ht="12.95" customHeight="1">
      <c r="A271" s="25" t="s">
        <v>1111</v>
      </c>
      <c r="B271" s="25"/>
      <c r="C271" s="25" t="s">
        <v>1596</v>
      </c>
      <c r="D271" s="25"/>
      <c r="E271" s="25"/>
    </row>
    <row r="272" spans="1:5" s="15" customFormat="1" ht="12.95" customHeight="1">
      <c r="A272" s="25" t="s">
        <v>1597</v>
      </c>
      <c r="B272" s="25"/>
      <c r="C272" s="25" t="s">
        <v>1598</v>
      </c>
      <c r="D272" s="25"/>
      <c r="E272" s="25"/>
    </row>
    <row r="273" spans="1:5" s="15" customFormat="1" ht="12.95" customHeight="1">
      <c r="A273" s="25" t="s">
        <v>1599</v>
      </c>
      <c r="B273" s="25"/>
      <c r="C273" s="25" t="s">
        <v>1596</v>
      </c>
      <c r="D273" s="25"/>
      <c r="E273" s="25"/>
    </row>
    <row r="274" spans="1:5" s="15" customFormat="1" ht="12.95" customHeight="1">
      <c r="A274" s="25" t="s">
        <v>1600</v>
      </c>
      <c r="B274" s="25"/>
      <c r="C274" s="25" t="s">
        <v>1601</v>
      </c>
      <c r="D274" s="25"/>
      <c r="E274" s="25"/>
    </row>
    <row r="275" spans="1:5" s="15" customFormat="1" ht="12.95" customHeight="1">
      <c r="A275" s="25" t="s">
        <v>1602</v>
      </c>
      <c r="B275" s="25"/>
      <c r="C275" s="25" t="s">
        <v>1603</v>
      </c>
      <c r="D275" s="25"/>
      <c r="E275" s="25"/>
    </row>
    <row r="276" spans="1:5" s="15" customFormat="1" ht="12.95" customHeight="1">
      <c r="A276" s="25" t="s">
        <v>1604</v>
      </c>
      <c r="B276" s="25"/>
      <c r="C276" s="25" t="s">
        <v>1605</v>
      </c>
      <c r="D276" s="25"/>
      <c r="E276" s="25"/>
    </row>
    <row r="277" spans="1:5" s="15" customFormat="1" ht="12.95" customHeight="1">
      <c r="A277" s="25" t="s">
        <v>1606</v>
      </c>
      <c r="B277" s="25"/>
      <c r="C277" s="25" t="s">
        <v>1607</v>
      </c>
      <c r="D277" s="25"/>
      <c r="E277" s="25"/>
    </row>
    <row r="278" spans="1:5" s="15" customFormat="1" ht="12.95" customHeight="1">
      <c r="A278" s="25" t="s">
        <v>1608</v>
      </c>
      <c r="B278" s="25"/>
      <c r="C278" s="25" t="s">
        <v>1609</v>
      </c>
      <c r="D278" s="25"/>
      <c r="E278" s="25"/>
    </row>
    <row r="279" spans="1:5" s="15" customFormat="1" ht="12.95" customHeight="1">
      <c r="A279" s="25" t="s">
        <v>1610</v>
      </c>
      <c r="B279" s="25"/>
      <c r="C279" s="25" t="s">
        <v>1611</v>
      </c>
      <c r="D279" s="25"/>
      <c r="E279" s="25"/>
    </row>
    <row r="280" spans="1:5" s="15" customFormat="1" ht="12.95" customHeight="1">
      <c r="A280" s="25" t="s">
        <v>1612</v>
      </c>
      <c r="B280" s="25"/>
      <c r="C280" s="25" t="s">
        <v>1613</v>
      </c>
      <c r="D280" s="25"/>
      <c r="E280" s="25"/>
    </row>
    <row r="281" spans="1:5" s="15" customFormat="1" ht="12.95" customHeight="1">
      <c r="A281" s="25" t="s">
        <v>1614</v>
      </c>
      <c r="B281" s="25"/>
      <c r="C281" s="25" t="s">
        <v>1615</v>
      </c>
      <c r="D281" s="25"/>
      <c r="E281" s="25"/>
    </row>
    <row r="282" spans="1:5" s="15" customFormat="1" ht="12.95" customHeight="1">
      <c r="A282" s="25" t="s">
        <v>1616</v>
      </c>
      <c r="B282" s="25"/>
      <c r="C282" s="25" t="s">
        <v>1615</v>
      </c>
      <c r="D282" s="25"/>
      <c r="E282" s="25"/>
    </row>
    <row r="283" spans="1:5" s="15" customFormat="1" ht="12.95" customHeight="1">
      <c r="A283" s="25" t="s">
        <v>1617</v>
      </c>
      <c r="B283" s="25"/>
      <c r="C283" s="25" t="s">
        <v>1618</v>
      </c>
      <c r="D283" s="25"/>
      <c r="E283" s="25"/>
    </row>
    <row r="284" spans="1:5" s="15" customFormat="1" ht="12.95" customHeight="1">
      <c r="A284" s="25" t="s">
        <v>1617</v>
      </c>
      <c r="B284" s="25"/>
      <c r="C284" s="25" t="s">
        <v>1618</v>
      </c>
      <c r="D284" s="25"/>
      <c r="E284" s="25"/>
    </row>
    <row r="285" spans="1:5" s="15" customFormat="1" ht="12.95" customHeight="1">
      <c r="A285" s="25" t="s">
        <v>115</v>
      </c>
      <c r="B285" s="25"/>
      <c r="C285" s="25" t="s">
        <v>1619</v>
      </c>
      <c r="D285" s="25"/>
      <c r="E285" s="25"/>
    </row>
    <row r="286" spans="1:5" s="15" customFormat="1" ht="12.95" customHeight="1">
      <c r="A286" s="25" t="s">
        <v>1620</v>
      </c>
      <c r="B286" s="25"/>
      <c r="C286" s="25" t="s">
        <v>1621</v>
      </c>
      <c r="D286" s="25"/>
      <c r="E286" s="25"/>
    </row>
    <row r="287" spans="1:5" s="15" customFormat="1" ht="12.95" customHeight="1">
      <c r="A287" s="25" t="s">
        <v>1622</v>
      </c>
      <c r="B287" s="25"/>
      <c r="C287" s="25" t="s">
        <v>1623</v>
      </c>
      <c r="D287" s="25"/>
      <c r="E287" s="25"/>
    </row>
    <row r="288" spans="1:5" s="15" customFormat="1" ht="12.95" customHeight="1">
      <c r="A288" s="25" t="s">
        <v>1624</v>
      </c>
      <c r="B288" s="25"/>
      <c r="C288" s="25" t="s">
        <v>1625</v>
      </c>
      <c r="D288" s="25"/>
      <c r="E288" s="25"/>
    </row>
    <row r="289" spans="1:5" s="15" customFormat="1" ht="12.95" customHeight="1">
      <c r="A289" s="25" t="s">
        <v>1626</v>
      </c>
      <c r="B289" s="25"/>
      <c r="C289" s="25" t="s">
        <v>1627</v>
      </c>
      <c r="D289" s="25"/>
      <c r="E289" s="25"/>
    </row>
    <row r="290" spans="1:5" s="15" customFormat="1" ht="12.95" customHeight="1">
      <c r="A290" s="25" t="s">
        <v>1628</v>
      </c>
      <c r="B290" s="25"/>
      <c r="C290" s="25" t="s">
        <v>1629</v>
      </c>
      <c r="D290" s="25"/>
      <c r="E290" s="25"/>
    </row>
    <row r="291" spans="1:5" s="15" customFormat="1" ht="12.95" customHeight="1">
      <c r="A291" s="25" t="s">
        <v>77</v>
      </c>
      <c r="B291" s="25"/>
      <c r="C291" s="25" t="s">
        <v>1619</v>
      </c>
      <c r="D291" s="25"/>
      <c r="E291" s="25"/>
    </row>
    <row r="292" spans="1:5" s="15" customFormat="1" ht="12.95" customHeight="1">
      <c r="A292" s="25" t="s">
        <v>784</v>
      </c>
      <c r="B292" s="25"/>
      <c r="C292" s="25" t="s">
        <v>1630</v>
      </c>
      <c r="D292" s="25"/>
      <c r="E292" s="25"/>
    </row>
    <row r="293" spans="1:5" s="15" customFormat="1" ht="12.95" customHeight="1">
      <c r="A293" s="25" t="s">
        <v>280</v>
      </c>
      <c r="B293" s="25"/>
      <c r="C293" s="25" t="s">
        <v>1631</v>
      </c>
      <c r="D293" s="25"/>
      <c r="E293" s="25"/>
    </row>
    <row r="294" spans="1:5" s="15" customFormat="1" ht="12.95" customHeight="1">
      <c r="A294" s="25" t="s">
        <v>1632</v>
      </c>
      <c r="B294" s="25"/>
      <c r="C294" s="25" t="s">
        <v>1633</v>
      </c>
      <c r="D294" s="25"/>
      <c r="E294" s="25"/>
    </row>
    <row r="295" spans="1:5" s="15" customFormat="1" ht="12.95" customHeight="1">
      <c r="A295" s="25" t="s">
        <v>1634</v>
      </c>
      <c r="B295" s="25"/>
      <c r="C295" s="25" t="s">
        <v>1633</v>
      </c>
      <c r="D295" s="25"/>
      <c r="E295" s="25"/>
    </row>
    <row r="296" spans="1:5" s="15" customFormat="1" ht="12.95" customHeight="1">
      <c r="A296" s="25" t="s">
        <v>1635</v>
      </c>
      <c r="B296" s="25"/>
      <c r="C296" s="25" t="s">
        <v>1636</v>
      </c>
      <c r="D296" s="25"/>
      <c r="E296" s="25"/>
    </row>
    <row r="297" spans="1:5" s="15" customFormat="1" ht="12.95" customHeight="1">
      <c r="A297" s="25" t="s">
        <v>1637</v>
      </c>
      <c r="B297" s="25"/>
      <c r="C297" s="25" t="s">
        <v>1638</v>
      </c>
      <c r="D297" s="25"/>
      <c r="E297" s="25"/>
    </row>
    <row r="298" spans="1:5" s="15" customFormat="1" ht="12.95" customHeight="1">
      <c r="A298" s="25" t="s">
        <v>1639</v>
      </c>
      <c r="B298" s="25"/>
      <c r="C298" s="25" t="s">
        <v>1640</v>
      </c>
      <c r="D298" s="25"/>
      <c r="E298" s="25"/>
    </row>
    <row r="299" spans="1:5" s="15" customFormat="1" ht="12.95" customHeight="1">
      <c r="A299" s="25" t="s">
        <v>1641</v>
      </c>
      <c r="B299" s="25"/>
      <c r="C299" s="25" t="s">
        <v>1642</v>
      </c>
      <c r="D299" s="25"/>
      <c r="E299" s="25"/>
    </row>
    <row r="300" spans="1:5" s="15" customFormat="1" ht="12.95" customHeight="1">
      <c r="A300" s="25" t="s">
        <v>288</v>
      </c>
      <c r="B300" s="25"/>
      <c r="C300" s="25" t="s">
        <v>1643</v>
      </c>
      <c r="D300" s="25"/>
      <c r="E300" s="25"/>
    </row>
    <row r="301" spans="1:5" s="15" customFormat="1" ht="12.95" customHeight="1">
      <c r="A301" s="25" t="s">
        <v>1644</v>
      </c>
      <c r="B301" s="25"/>
      <c r="C301" s="25" t="s">
        <v>1645</v>
      </c>
      <c r="D301" s="25"/>
      <c r="E301" s="25"/>
    </row>
    <row r="302" spans="1:5" s="15" customFormat="1" ht="12.95" customHeight="1">
      <c r="A302" s="25" t="s">
        <v>1646</v>
      </c>
      <c r="B302" s="25"/>
      <c r="C302" s="25" t="s">
        <v>1647</v>
      </c>
      <c r="D302" s="25"/>
      <c r="E302" s="25"/>
    </row>
    <row r="303" spans="1:5" s="15" customFormat="1" ht="12.95" customHeight="1">
      <c r="A303" s="25" t="s">
        <v>1648</v>
      </c>
      <c r="B303" s="25"/>
      <c r="C303" s="25" t="s">
        <v>1649</v>
      </c>
      <c r="D303" s="25"/>
      <c r="E303" s="25"/>
    </row>
    <row r="304" spans="1:5" s="15" customFormat="1" ht="12.95" customHeight="1">
      <c r="A304" s="25" t="s">
        <v>1650</v>
      </c>
      <c r="B304" s="25"/>
      <c r="C304" s="25" t="s">
        <v>1651</v>
      </c>
      <c r="D304" s="25"/>
      <c r="E304" s="25"/>
    </row>
    <row r="305" spans="1:5" s="15" customFormat="1" ht="12.95" customHeight="1">
      <c r="A305" s="25" t="s">
        <v>1652</v>
      </c>
      <c r="B305" s="25"/>
      <c r="C305" s="25" t="s">
        <v>1653</v>
      </c>
      <c r="D305" s="25"/>
      <c r="E305" s="25"/>
    </row>
    <row r="306" spans="1:5" s="15" customFormat="1" ht="12.95" customHeight="1">
      <c r="A306" s="25" t="s">
        <v>1654</v>
      </c>
      <c r="B306" s="25"/>
      <c r="C306" s="25" t="s">
        <v>1655</v>
      </c>
      <c r="D306" s="25"/>
      <c r="E306" s="25"/>
    </row>
    <row r="307" spans="1:5" s="15" customFormat="1" ht="12.95" customHeight="1">
      <c r="A307" s="25" t="s">
        <v>1656</v>
      </c>
      <c r="B307" s="25"/>
      <c r="C307" s="25" t="s">
        <v>1657</v>
      </c>
      <c r="D307" s="25"/>
      <c r="E307" s="25"/>
    </row>
    <row r="308" spans="1:5" s="15" customFormat="1" ht="12.95" customHeight="1">
      <c r="A308" s="25" t="s">
        <v>1658</v>
      </c>
      <c r="B308" s="25"/>
      <c r="C308" s="25" t="s">
        <v>1659</v>
      </c>
      <c r="D308" s="25"/>
      <c r="E308" s="25"/>
    </row>
    <row r="309" spans="1:5" s="15" customFormat="1" ht="12.95" customHeight="1">
      <c r="A309" s="25" t="s">
        <v>1660</v>
      </c>
      <c r="B309" s="25"/>
      <c r="C309" s="25" t="s">
        <v>1661</v>
      </c>
      <c r="D309" s="25"/>
      <c r="E309" s="25"/>
    </row>
    <row r="310" spans="1:5" s="15" customFormat="1" ht="12.95" customHeight="1">
      <c r="A310" s="25" t="s">
        <v>1662</v>
      </c>
      <c r="B310" s="25"/>
      <c r="C310" s="25" t="s">
        <v>1663</v>
      </c>
      <c r="D310" s="25"/>
      <c r="E310" s="25"/>
    </row>
    <row r="311" spans="1:5" s="15" customFormat="1" ht="12.95" customHeight="1">
      <c r="A311" s="25" t="s">
        <v>1664</v>
      </c>
      <c r="B311" s="25"/>
      <c r="C311" s="25" t="s">
        <v>1665</v>
      </c>
      <c r="D311" s="25"/>
      <c r="E311" s="25"/>
    </row>
    <row r="312" spans="1:5" s="15" customFormat="1" ht="12.95" customHeight="1">
      <c r="A312" s="25" t="s">
        <v>1666</v>
      </c>
      <c r="B312" s="25"/>
      <c r="C312" s="25" t="s">
        <v>1667</v>
      </c>
      <c r="D312" s="25"/>
      <c r="E312" s="25"/>
    </row>
    <row r="313" spans="1:5" s="15" customFormat="1" ht="12.95" customHeight="1">
      <c r="A313" s="25" t="s">
        <v>1668</v>
      </c>
      <c r="B313" s="25"/>
      <c r="C313" s="25" t="s">
        <v>1669</v>
      </c>
      <c r="D313" s="25"/>
      <c r="E313" s="25"/>
    </row>
    <row r="314" spans="1:5" s="15" customFormat="1" ht="12.95" customHeight="1">
      <c r="A314" s="25" t="s">
        <v>1670</v>
      </c>
      <c r="B314" s="25"/>
      <c r="C314" s="25" t="s">
        <v>1630</v>
      </c>
      <c r="D314" s="25"/>
      <c r="E314" s="25"/>
    </row>
    <row r="315" spans="1:5" s="15" customFormat="1" ht="12.95" customHeight="1">
      <c r="A315" s="25" t="s">
        <v>1671</v>
      </c>
      <c r="B315" s="25"/>
      <c r="C315" s="25" t="s">
        <v>1672</v>
      </c>
      <c r="D315" s="25"/>
      <c r="E315" s="25"/>
    </row>
    <row r="316" spans="1:5" s="15" customFormat="1" ht="12.95" customHeight="1">
      <c r="A316" s="25" t="s">
        <v>1673</v>
      </c>
      <c r="B316" s="25"/>
      <c r="C316" s="25" t="s">
        <v>1674</v>
      </c>
      <c r="D316" s="25"/>
      <c r="E316" s="25"/>
    </row>
    <row r="317" spans="1:5" s="15" customFormat="1" ht="12.95" customHeight="1">
      <c r="A317" s="25" t="s">
        <v>1675</v>
      </c>
      <c r="B317" s="25"/>
      <c r="C317" s="25" t="s">
        <v>1676</v>
      </c>
      <c r="D317" s="25"/>
      <c r="E317" s="25"/>
    </row>
    <row r="318" spans="1:5" s="15" customFormat="1" ht="12.95" customHeight="1">
      <c r="A318" s="25" t="s">
        <v>1677</v>
      </c>
      <c r="B318" s="25"/>
      <c r="C318" s="25" t="s">
        <v>1678</v>
      </c>
      <c r="D318" s="25"/>
      <c r="E318" s="25"/>
    </row>
    <row r="319" spans="1:5" s="15" customFormat="1" ht="12.95" customHeight="1">
      <c r="A319" s="25" t="s">
        <v>1679</v>
      </c>
      <c r="B319" s="25"/>
      <c r="C319" s="25" t="s">
        <v>1680</v>
      </c>
      <c r="D319" s="25"/>
      <c r="E319" s="25"/>
    </row>
    <row r="320" spans="1:5" s="15" customFormat="1" ht="12.95" customHeight="1">
      <c r="A320" s="25" t="s">
        <v>1681</v>
      </c>
      <c r="B320" s="25"/>
      <c r="C320" s="25" t="s">
        <v>1682</v>
      </c>
      <c r="D320" s="25"/>
      <c r="E320" s="25"/>
    </row>
    <row r="321" spans="1:5" s="15" customFormat="1" ht="12.95" customHeight="1">
      <c r="A321" s="25" t="s">
        <v>1683</v>
      </c>
      <c r="B321" s="25"/>
      <c r="C321" s="25" t="s">
        <v>1684</v>
      </c>
      <c r="D321" s="25"/>
      <c r="E321" s="25"/>
    </row>
    <row r="322" spans="1:5" s="15" customFormat="1" ht="12.95" customHeight="1">
      <c r="A322" s="25" t="s">
        <v>1685</v>
      </c>
      <c r="B322" s="25"/>
      <c r="C322" s="25" t="s">
        <v>1686</v>
      </c>
      <c r="D322" s="25"/>
      <c r="E322" s="25"/>
    </row>
    <row r="323" spans="1:5" s="15" customFormat="1" ht="12.95" customHeight="1">
      <c r="A323" s="25" t="s">
        <v>1687</v>
      </c>
      <c r="B323" s="25"/>
      <c r="C323" s="25" t="s">
        <v>1688</v>
      </c>
      <c r="D323" s="25"/>
      <c r="E323" s="25"/>
    </row>
    <row r="324" spans="1:5" s="15" customFormat="1" ht="12.95" customHeight="1">
      <c r="A324" s="25" t="s">
        <v>1689</v>
      </c>
      <c r="B324" s="25"/>
      <c r="C324" s="25" t="s">
        <v>1690</v>
      </c>
      <c r="D324" s="25"/>
      <c r="E324" s="25"/>
    </row>
    <row r="325" spans="1:5" s="15" customFormat="1" ht="12.95" customHeight="1">
      <c r="A325" s="25" t="s">
        <v>1691</v>
      </c>
      <c r="B325" s="25"/>
      <c r="C325" s="25" t="s">
        <v>1692</v>
      </c>
      <c r="D325" s="25"/>
      <c r="E325" s="25"/>
    </row>
    <row r="326" spans="1:5" s="15" customFormat="1" ht="12.95" customHeight="1">
      <c r="A326" s="25" t="s">
        <v>1693</v>
      </c>
      <c r="B326" s="25"/>
      <c r="C326" s="25" t="s">
        <v>1694</v>
      </c>
      <c r="D326" s="25"/>
      <c r="E326" s="25"/>
    </row>
    <row r="327" spans="1:5" s="15" customFormat="1" ht="12.95" customHeight="1">
      <c r="A327" s="25" t="s">
        <v>1695</v>
      </c>
      <c r="B327" s="25"/>
      <c r="C327" s="25" t="s">
        <v>1696</v>
      </c>
      <c r="D327" s="25"/>
      <c r="E327" s="25"/>
    </row>
    <row r="328" spans="1:5" s="15" customFormat="1" ht="12.95" customHeight="1">
      <c r="A328" s="25" t="s">
        <v>1697</v>
      </c>
      <c r="B328" s="25"/>
      <c r="C328" s="25" t="s">
        <v>1698</v>
      </c>
      <c r="D328" s="25"/>
      <c r="E328" s="25"/>
    </row>
    <row r="329" spans="1:5" s="15" customFormat="1" ht="12.95" customHeight="1">
      <c r="A329" s="25" t="s">
        <v>1699</v>
      </c>
      <c r="B329" s="25"/>
      <c r="C329" s="25" t="s">
        <v>1700</v>
      </c>
      <c r="D329" s="25"/>
      <c r="E329" s="25"/>
    </row>
    <row r="330" spans="1:5" s="15" customFormat="1" ht="12.95" customHeight="1">
      <c r="A330" s="25" t="s">
        <v>1701</v>
      </c>
      <c r="B330" s="25"/>
      <c r="C330" s="25" t="s">
        <v>1702</v>
      </c>
      <c r="D330" s="25"/>
      <c r="E330" s="25"/>
    </row>
    <row r="331" spans="1:5" s="15" customFormat="1" ht="12.95" customHeight="1">
      <c r="A331" s="25" t="s">
        <v>1703</v>
      </c>
      <c r="B331" s="25"/>
      <c r="C331" s="25" t="s">
        <v>1704</v>
      </c>
      <c r="D331" s="25"/>
      <c r="E331" s="25"/>
    </row>
    <row r="332" spans="1:5" s="15" customFormat="1" ht="12.95" customHeight="1">
      <c r="A332" s="25" t="s">
        <v>1705</v>
      </c>
      <c r="B332" s="25"/>
      <c r="C332" s="25" t="s">
        <v>1706</v>
      </c>
      <c r="D332" s="25"/>
      <c r="E332" s="25"/>
    </row>
    <row r="333" spans="1:5" s="15" customFormat="1" ht="12.95" customHeight="1">
      <c r="A333" s="25" t="s">
        <v>1707</v>
      </c>
      <c r="B333" s="25"/>
      <c r="C333" s="25" t="s">
        <v>1708</v>
      </c>
      <c r="D333" s="25"/>
      <c r="E333" s="25"/>
    </row>
    <row r="334" spans="1:5" s="15" customFormat="1" ht="12.95" customHeight="1">
      <c r="A334" s="25" t="s">
        <v>1709</v>
      </c>
      <c r="B334" s="25"/>
      <c r="C334" s="25" t="s">
        <v>1710</v>
      </c>
      <c r="D334" s="25"/>
      <c r="E334" s="25"/>
    </row>
    <row r="335" spans="1:5" s="15" customFormat="1" ht="12.95" customHeight="1">
      <c r="A335" s="25" t="s">
        <v>1711</v>
      </c>
      <c r="B335" s="25"/>
      <c r="C335" s="25" t="s">
        <v>1712</v>
      </c>
      <c r="D335" s="25"/>
      <c r="E335" s="25"/>
    </row>
    <row r="336" spans="1:5" s="15" customFormat="1" ht="12.95" customHeight="1">
      <c r="A336" s="25" t="s">
        <v>1713</v>
      </c>
      <c r="B336" s="25"/>
      <c r="C336" s="25" t="s">
        <v>1714</v>
      </c>
      <c r="D336" s="25"/>
      <c r="E336" s="25"/>
    </row>
    <row r="337" spans="1:5" s="15" customFormat="1" ht="12.95" customHeight="1">
      <c r="A337" s="25" t="s">
        <v>1715</v>
      </c>
      <c r="B337" s="25"/>
      <c r="C337" s="25" t="s">
        <v>1716</v>
      </c>
      <c r="D337" s="25"/>
      <c r="E337" s="25"/>
    </row>
    <row r="338" spans="1:5" s="15" customFormat="1" ht="12.95" customHeight="1">
      <c r="A338" s="25" t="s">
        <v>1717</v>
      </c>
      <c r="B338" s="25"/>
      <c r="C338" s="25" t="s">
        <v>1718</v>
      </c>
      <c r="D338" s="25"/>
      <c r="E338" s="25"/>
    </row>
    <row r="339" spans="1:5" s="15" customFormat="1" ht="12.95" customHeight="1">
      <c r="A339" s="25" t="s">
        <v>1719</v>
      </c>
      <c r="B339" s="25"/>
      <c r="C339" s="25" t="s">
        <v>1720</v>
      </c>
      <c r="D339" s="25"/>
      <c r="E339" s="25"/>
    </row>
    <row r="340" spans="1:5" s="15" customFormat="1" ht="12.95" customHeight="1">
      <c r="A340" s="25" t="s">
        <v>1721</v>
      </c>
      <c r="B340" s="25"/>
      <c r="C340" s="25" t="s">
        <v>1722</v>
      </c>
      <c r="D340" s="25"/>
      <c r="E340" s="25"/>
    </row>
    <row r="341" spans="1:5" s="15" customFormat="1" ht="12.95" customHeight="1">
      <c r="A341" s="25" t="s">
        <v>1723</v>
      </c>
      <c r="B341" s="25"/>
      <c r="C341" s="25" t="s">
        <v>1724</v>
      </c>
      <c r="D341" s="25"/>
      <c r="E341" s="25"/>
    </row>
    <row r="342" spans="1:5" s="15" customFormat="1" ht="12.95" customHeight="1">
      <c r="A342" s="25" t="s">
        <v>1725</v>
      </c>
      <c r="B342" s="25"/>
      <c r="C342" s="25" t="s">
        <v>1726</v>
      </c>
      <c r="D342" s="25"/>
      <c r="E342" s="25"/>
    </row>
    <row r="343" spans="1:5" s="15" customFormat="1" ht="12.95" customHeight="1">
      <c r="A343" s="25" t="s">
        <v>1727</v>
      </c>
      <c r="B343" s="25"/>
      <c r="C343" s="25" t="s">
        <v>1728</v>
      </c>
      <c r="D343" s="25"/>
      <c r="E343" s="25"/>
    </row>
    <row r="344" spans="1:5" s="15" customFormat="1" ht="12.95" customHeight="1">
      <c r="A344" s="25" t="s">
        <v>1729</v>
      </c>
      <c r="B344" s="25"/>
      <c r="C344" s="25" t="s">
        <v>1730</v>
      </c>
      <c r="D344" s="25"/>
      <c r="E344" s="25"/>
    </row>
    <row r="345" spans="1:5" s="15" customFormat="1" ht="12.95" customHeight="1">
      <c r="A345" s="25" t="s">
        <v>1731</v>
      </c>
      <c r="B345" s="25"/>
      <c r="C345" s="25" t="s">
        <v>1732</v>
      </c>
      <c r="D345" s="25"/>
      <c r="E345" s="25"/>
    </row>
    <row r="346" spans="1:5" s="15" customFormat="1" ht="12.95" customHeight="1">
      <c r="A346" s="25" t="s">
        <v>1733</v>
      </c>
      <c r="B346" s="25"/>
      <c r="C346" s="25" t="s">
        <v>1734</v>
      </c>
      <c r="D346" s="25"/>
      <c r="E346" s="25"/>
    </row>
    <row r="347" spans="1:5" s="15" customFormat="1" ht="12.95" customHeight="1">
      <c r="A347" s="25" t="s">
        <v>1735</v>
      </c>
      <c r="B347" s="25"/>
      <c r="C347" s="25" t="s">
        <v>1736</v>
      </c>
      <c r="D347" s="25"/>
      <c r="E347" s="25"/>
    </row>
    <row r="348" spans="1:5" s="15" customFormat="1" ht="12.95" customHeight="1">
      <c r="A348" s="25" t="s">
        <v>1737</v>
      </c>
      <c r="B348" s="25"/>
      <c r="C348" s="25" t="s">
        <v>1738</v>
      </c>
      <c r="D348" s="25"/>
      <c r="E348" s="25"/>
    </row>
    <row r="349" spans="1:5" s="15" customFormat="1" ht="12.95" customHeight="1">
      <c r="A349" s="25" t="s">
        <v>1739</v>
      </c>
      <c r="B349" s="25"/>
      <c r="C349" s="25" t="s">
        <v>1740</v>
      </c>
      <c r="D349" s="25"/>
      <c r="E349" s="25"/>
    </row>
    <row r="350" spans="1:5" s="15" customFormat="1" ht="12.95" customHeight="1">
      <c r="A350" s="25" t="s">
        <v>1741</v>
      </c>
      <c r="B350" s="25"/>
      <c r="C350" s="25" t="s">
        <v>1742</v>
      </c>
      <c r="D350" s="25"/>
      <c r="E350" s="25"/>
    </row>
    <row r="351" spans="1:5" s="15" customFormat="1" ht="12.95" customHeight="1">
      <c r="A351" s="25" t="s">
        <v>1743</v>
      </c>
      <c r="B351" s="25"/>
      <c r="C351" s="25" t="s">
        <v>1744</v>
      </c>
      <c r="D351" s="25"/>
      <c r="E351" s="25"/>
    </row>
    <row r="352" spans="1:5" s="15" customFormat="1" ht="12.95" customHeight="1">
      <c r="A352" s="25" t="s">
        <v>1745</v>
      </c>
      <c r="B352" s="25"/>
      <c r="C352" s="25" t="s">
        <v>1746</v>
      </c>
      <c r="D352" s="25"/>
      <c r="E352" s="25"/>
    </row>
    <row r="353" spans="1:5" s="15" customFormat="1" ht="12.95" customHeight="1">
      <c r="A353" s="25" t="s">
        <v>1747</v>
      </c>
      <c r="B353" s="25"/>
      <c r="C353" s="25" t="s">
        <v>1748</v>
      </c>
      <c r="D353" s="25"/>
      <c r="E353" s="25"/>
    </row>
    <row r="354" spans="1:5" s="15" customFormat="1" ht="12.95" customHeight="1">
      <c r="A354" s="25" t="s">
        <v>1749</v>
      </c>
      <c r="B354" s="25"/>
      <c r="C354" s="25" t="s">
        <v>1750</v>
      </c>
      <c r="D354" s="25"/>
      <c r="E354" s="25"/>
    </row>
    <row r="355" spans="1:5" s="15" customFormat="1" ht="12.95" customHeight="1">
      <c r="A355" s="25" t="s">
        <v>1751</v>
      </c>
      <c r="B355" s="25"/>
      <c r="C355" s="25" t="s">
        <v>1752</v>
      </c>
      <c r="D355" s="25"/>
      <c r="E355" s="25"/>
    </row>
    <row r="356" spans="1:5" s="15" customFormat="1" ht="12.95" customHeight="1">
      <c r="A356" s="25" t="s">
        <v>1753</v>
      </c>
      <c r="B356" s="25"/>
      <c r="C356" s="25" t="s">
        <v>1754</v>
      </c>
      <c r="D356" s="25"/>
      <c r="E356" s="25"/>
    </row>
    <row r="357" spans="1:5" s="15" customFormat="1" ht="12.95" customHeight="1">
      <c r="A357" s="25" t="s">
        <v>1755</v>
      </c>
      <c r="B357" s="25"/>
      <c r="C357" s="25" t="s">
        <v>1756</v>
      </c>
      <c r="D357" s="25"/>
      <c r="E357" s="25"/>
    </row>
    <row r="358" spans="1:5" s="15" customFormat="1" ht="12.95" customHeight="1">
      <c r="A358" s="25" t="s">
        <v>1757</v>
      </c>
      <c r="B358" s="25"/>
      <c r="C358" s="25" t="s">
        <v>1758</v>
      </c>
      <c r="D358" s="25"/>
      <c r="E358" s="25"/>
    </row>
    <row r="359" spans="1:5" s="15" customFormat="1" ht="12.95" customHeight="1">
      <c r="A359" s="25" t="s">
        <v>1759</v>
      </c>
      <c r="B359" s="25"/>
      <c r="C359" s="25" t="s">
        <v>1760</v>
      </c>
      <c r="D359" s="25"/>
      <c r="E359" s="25"/>
    </row>
    <row r="360" spans="1:5" s="15" customFormat="1" ht="12.95" customHeight="1">
      <c r="A360" s="25" t="s">
        <v>1761</v>
      </c>
      <c r="B360" s="25"/>
      <c r="C360" s="25" t="s">
        <v>1762</v>
      </c>
      <c r="D360" s="25"/>
      <c r="E360" s="25"/>
    </row>
    <row r="361" spans="1:5" s="15" customFormat="1" ht="12.95" customHeight="1">
      <c r="A361" s="25" t="s">
        <v>1763</v>
      </c>
      <c r="B361" s="25"/>
      <c r="C361" s="25" t="s">
        <v>1764</v>
      </c>
      <c r="D361" s="25"/>
      <c r="E361" s="25"/>
    </row>
    <row r="362" spans="1:5" s="15" customFormat="1" ht="12.95" customHeight="1">
      <c r="A362" s="25" t="s">
        <v>1765</v>
      </c>
      <c r="B362" s="25"/>
      <c r="C362" s="25" t="s">
        <v>1766</v>
      </c>
      <c r="D362" s="25"/>
      <c r="E362" s="25"/>
    </row>
    <row r="363" spans="1:5" s="15" customFormat="1" ht="12.95" customHeight="1">
      <c r="A363" s="25" t="s">
        <v>1767</v>
      </c>
      <c r="B363" s="25"/>
      <c r="C363" s="25" t="s">
        <v>1768</v>
      </c>
      <c r="D363" s="25"/>
      <c r="E363" s="25"/>
    </row>
    <row r="364" spans="1:5" s="15" customFormat="1" ht="12.95" customHeight="1">
      <c r="A364" s="25" t="s">
        <v>1769</v>
      </c>
      <c r="B364" s="25"/>
      <c r="C364" s="25" t="s">
        <v>1770</v>
      </c>
      <c r="D364" s="25"/>
      <c r="E364" s="25"/>
    </row>
    <row r="365" spans="1:5" s="15" customFormat="1" ht="12.95" customHeight="1">
      <c r="A365" s="25" t="s">
        <v>1771</v>
      </c>
      <c r="B365" s="25"/>
      <c r="C365" s="25" t="s">
        <v>1772</v>
      </c>
      <c r="D365" s="25"/>
      <c r="E365" s="25"/>
    </row>
    <row r="366" spans="1:5" s="15" customFormat="1" ht="12.95" customHeight="1">
      <c r="A366" s="25" t="s">
        <v>1773</v>
      </c>
      <c r="B366" s="25"/>
      <c r="C366" s="25" t="s">
        <v>1774</v>
      </c>
      <c r="D366" s="25"/>
      <c r="E366" s="25"/>
    </row>
    <row r="367" spans="1:5" s="15" customFormat="1" ht="12.95" customHeight="1">
      <c r="A367" s="25" t="s">
        <v>1775</v>
      </c>
      <c r="B367" s="25"/>
      <c r="C367" s="25" t="s">
        <v>1776</v>
      </c>
      <c r="D367" s="25"/>
      <c r="E367" s="25"/>
    </row>
    <row r="368" spans="1:5" s="15" customFormat="1" ht="12.95" customHeight="1">
      <c r="A368" s="25" t="s">
        <v>1777</v>
      </c>
      <c r="B368" s="25"/>
      <c r="C368" s="25" t="s">
        <v>1778</v>
      </c>
      <c r="D368" s="25"/>
      <c r="E368" s="25"/>
    </row>
    <row r="369" spans="1:5" s="15" customFormat="1" ht="12.95" customHeight="1">
      <c r="A369" s="25" t="s">
        <v>1779</v>
      </c>
      <c r="B369" s="25"/>
      <c r="C369" s="25" t="s">
        <v>1780</v>
      </c>
      <c r="D369" s="25"/>
      <c r="E369" s="25"/>
    </row>
    <row r="370" spans="1:5" s="15" customFormat="1" ht="12.95" customHeight="1">
      <c r="A370" s="25" t="s">
        <v>1781</v>
      </c>
      <c r="B370" s="25"/>
      <c r="C370" s="25" t="s">
        <v>1627</v>
      </c>
      <c r="D370" s="25"/>
      <c r="E370" s="25"/>
    </row>
    <row r="371" spans="1:5" s="15" customFormat="1" ht="12.95" customHeight="1">
      <c r="A371" s="25" t="s">
        <v>1782</v>
      </c>
      <c r="B371" s="25"/>
      <c r="C371" s="25" t="s">
        <v>1783</v>
      </c>
      <c r="D371" s="25"/>
      <c r="E371" s="25"/>
    </row>
    <row r="372" spans="1:5" s="15" customFormat="1" ht="12.95" customHeight="1">
      <c r="A372" s="25" t="s">
        <v>1784</v>
      </c>
      <c r="B372" s="25"/>
      <c r="C372" s="25" t="s">
        <v>1785</v>
      </c>
      <c r="D372" s="25"/>
      <c r="E372" s="25"/>
    </row>
    <row r="373" spans="1:5" s="15" customFormat="1" ht="12.95" customHeight="1">
      <c r="A373" s="25" t="s">
        <v>1786</v>
      </c>
      <c r="B373" s="25"/>
      <c r="C373" s="25" t="s">
        <v>1787</v>
      </c>
      <c r="D373" s="25"/>
      <c r="E373" s="25"/>
    </row>
    <row r="374" spans="1:5" s="15" customFormat="1" ht="12.95" customHeight="1">
      <c r="A374" s="25" t="s">
        <v>1788</v>
      </c>
      <c r="B374" s="25"/>
      <c r="C374" s="25" t="s">
        <v>1789</v>
      </c>
      <c r="D374" s="25"/>
      <c r="E374" s="25"/>
    </row>
    <row r="375" spans="1:5" s="15" customFormat="1" ht="12.95" customHeight="1">
      <c r="A375" s="25" t="s">
        <v>296</v>
      </c>
      <c r="B375" s="25"/>
      <c r="C375" s="25" t="s">
        <v>1790</v>
      </c>
      <c r="D375" s="25"/>
      <c r="E375" s="25"/>
    </row>
    <row r="376" spans="1:5" s="15" customFormat="1" ht="12.95" customHeight="1">
      <c r="A376" s="25" t="s">
        <v>1791</v>
      </c>
      <c r="B376" s="25"/>
      <c r="C376" s="25" t="s">
        <v>1789</v>
      </c>
      <c r="D376" s="25"/>
      <c r="E376" s="25"/>
    </row>
    <row r="377" spans="1:5" s="15" customFormat="1" ht="12.95" customHeight="1">
      <c r="A377" s="25" t="s">
        <v>1792</v>
      </c>
      <c r="B377" s="25"/>
      <c r="C377" s="25" t="s">
        <v>1793</v>
      </c>
      <c r="D377" s="25"/>
      <c r="E377" s="25"/>
    </row>
    <row r="378" spans="1:5" s="15" customFormat="1" ht="12.95" customHeight="1">
      <c r="A378" s="25" t="s">
        <v>1794</v>
      </c>
      <c r="B378" s="25"/>
      <c r="C378" s="25" t="s">
        <v>1795</v>
      </c>
      <c r="D378" s="25"/>
      <c r="E378" s="25"/>
    </row>
    <row r="379" spans="1:5" s="15" customFormat="1" ht="12.95" customHeight="1">
      <c r="A379" s="25" t="s">
        <v>916</v>
      </c>
      <c r="B379" s="25"/>
      <c r="C379" s="25" t="s">
        <v>1796</v>
      </c>
      <c r="D379" s="25"/>
      <c r="E379" s="25"/>
    </row>
    <row r="380" spans="1:5" s="15" customFormat="1" ht="12.95" customHeight="1">
      <c r="A380" s="25" t="s">
        <v>1797</v>
      </c>
      <c r="B380" s="25"/>
      <c r="C380" s="25" t="s">
        <v>1796</v>
      </c>
      <c r="D380" s="25"/>
      <c r="E380" s="25"/>
    </row>
    <row r="381" spans="1:5" s="15" customFormat="1" ht="12.95" customHeight="1">
      <c r="A381" s="25" t="s">
        <v>1798</v>
      </c>
      <c r="B381" s="25"/>
      <c r="C381" s="25" t="s">
        <v>1796</v>
      </c>
      <c r="D381" s="25"/>
      <c r="E381" s="25"/>
    </row>
    <row r="382" spans="1:5" s="15" customFormat="1" ht="12.95" customHeight="1">
      <c r="A382" s="25" t="s">
        <v>1799</v>
      </c>
      <c r="B382" s="25"/>
      <c r="C382" s="25" t="s">
        <v>1800</v>
      </c>
      <c r="D382" s="25"/>
      <c r="E382" s="25"/>
    </row>
    <row r="383" spans="1:5" s="15" customFormat="1" ht="12.95" customHeight="1">
      <c r="A383" s="25" t="s">
        <v>1801</v>
      </c>
      <c r="B383" s="25"/>
      <c r="C383" s="25" t="s">
        <v>1802</v>
      </c>
      <c r="D383" s="25"/>
      <c r="E383" s="25"/>
    </row>
    <row r="384" spans="1:5" s="15" customFormat="1" ht="12.95" customHeight="1">
      <c r="A384" s="25" t="s">
        <v>1803</v>
      </c>
      <c r="B384" s="25"/>
      <c r="C384" s="25" t="s">
        <v>1804</v>
      </c>
      <c r="D384" s="25"/>
      <c r="E384" s="25"/>
    </row>
    <row r="385" spans="1:5" s="15" customFormat="1" ht="12.95" customHeight="1">
      <c r="A385" s="25" t="s">
        <v>1805</v>
      </c>
      <c r="B385" s="25"/>
      <c r="C385" s="25" t="s">
        <v>1806</v>
      </c>
      <c r="D385" s="25"/>
      <c r="E385" s="25"/>
    </row>
    <row r="386" spans="1:5" s="15" customFormat="1" ht="12.95" customHeight="1">
      <c r="A386" s="25" t="s">
        <v>1807</v>
      </c>
      <c r="B386" s="25"/>
      <c r="C386" s="25" t="s">
        <v>1808</v>
      </c>
      <c r="D386" s="25"/>
      <c r="E386" s="25"/>
    </row>
    <row r="387" spans="1:5" s="15" customFormat="1" ht="12.95" customHeight="1">
      <c r="A387" s="25" t="s">
        <v>363</v>
      </c>
      <c r="B387" s="25"/>
      <c r="C387" s="25" t="s">
        <v>1809</v>
      </c>
      <c r="D387" s="25"/>
      <c r="E387" s="25"/>
    </row>
    <row r="388" spans="1:5" s="15" customFormat="1" ht="12.95" customHeight="1">
      <c r="A388" s="25" t="s">
        <v>1810</v>
      </c>
      <c r="B388" s="25"/>
      <c r="C388" s="25" t="s">
        <v>1811</v>
      </c>
      <c r="D388" s="25"/>
      <c r="E388" s="25"/>
    </row>
    <row r="389" spans="1:5" s="15" customFormat="1" ht="12.95" customHeight="1">
      <c r="A389" s="25" t="s">
        <v>1812</v>
      </c>
      <c r="B389" s="25"/>
      <c r="C389" s="25" t="s">
        <v>1809</v>
      </c>
      <c r="D389" s="25"/>
      <c r="E389" s="25"/>
    </row>
    <row r="390" spans="1:5" s="15" customFormat="1" ht="12.95" customHeight="1">
      <c r="A390" s="25" t="s">
        <v>1813</v>
      </c>
      <c r="B390" s="25"/>
      <c r="C390" s="25" t="s">
        <v>1814</v>
      </c>
      <c r="D390" s="25"/>
      <c r="E390" s="25"/>
    </row>
    <row r="391" spans="1:5" s="15" customFormat="1" ht="12.95" customHeight="1">
      <c r="A391" s="25" t="s">
        <v>1815</v>
      </c>
      <c r="B391" s="25"/>
      <c r="C391" s="25" t="s">
        <v>1816</v>
      </c>
      <c r="D391" s="25"/>
      <c r="E391" s="25"/>
    </row>
    <row r="392" spans="1:5" s="15" customFormat="1" ht="12.95" customHeight="1">
      <c r="A392" s="25" t="s">
        <v>1817</v>
      </c>
      <c r="B392" s="25"/>
      <c r="C392" s="25" t="s">
        <v>1818</v>
      </c>
      <c r="D392" s="25"/>
      <c r="E392" s="25"/>
    </row>
    <row r="393" spans="1:5" s="15" customFormat="1" ht="12.95" customHeight="1">
      <c r="A393" s="25" t="s">
        <v>1817</v>
      </c>
      <c r="B393" s="25"/>
      <c r="C393" s="25" t="s">
        <v>1818</v>
      </c>
      <c r="D393" s="25"/>
      <c r="E393" s="25"/>
    </row>
    <row r="394" spans="1:5" s="15" customFormat="1" ht="12.95" customHeight="1">
      <c r="A394" s="25" t="s">
        <v>1819</v>
      </c>
      <c r="B394" s="25"/>
      <c r="C394" s="25" t="s">
        <v>924</v>
      </c>
      <c r="D394" s="25"/>
      <c r="E394" s="25"/>
    </row>
    <row r="395" spans="1:5" s="15" customFormat="1" ht="12.95" customHeight="1">
      <c r="A395" s="25" t="s">
        <v>1820</v>
      </c>
      <c r="B395" s="25"/>
      <c r="C395" s="25" t="s">
        <v>1821</v>
      </c>
      <c r="D395" s="25"/>
      <c r="E395" s="25"/>
    </row>
    <row r="396" spans="1:5" s="15" customFormat="1" ht="12.95" customHeight="1">
      <c r="A396" s="25" t="s">
        <v>1822</v>
      </c>
      <c r="B396" s="25"/>
      <c r="C396" s="25" t="s">
        <v>924</v>
      </c>
      <c r="D396" s="25"/>
      <c r="E396" s="25"/>
    </row>
    <row r="397" spans="1:5" s="15" customFormat="1" ht="12.95" customHeight="1">
      <c r="A397" s="25" t="s">
        <v>1823</v>
      </c>
      <c r="B397" s="25"/>
      <c r="C397" s="25" t="s">
        <v>1821</v>
      </c>
      <c r="D397" s="25"/>
      <c r="E397" s="25"/>
    </row>
    <row r="398" spans="1:5" s="15" customFormat="1" ht="12.95" customHeight="1">
      <c r="A398" s="25" t="s">
        <v>1824</v>
      </c>
      <c r="B398" s="25"/>
      <c r="C398" s="25" t="s">
        <v>1825</v>
      </c>
      <c r="D398" s="25"/>
      <c r="E398" s="25"/>
    </row>
    <row r="399" spans="1:5" s="15" customFormat="1" ht="12.95" customHeight="1">
      <c r="A399" s="25" t="s">
        <v>1826</v>
      </c>
      <c r="B399" s="25"/>
      <c r="C399" s="25" t="s">
        <v>1827</v>
      </c>
      <c r="D399" s="25"/>
      <c r="E399" s="25"/>
    </row>
    <row r="400" spans="1:5" s="15" customFormat="1" ht="12.95" customHeight="1">
      <c r="A400" s="25" t="s">
        <v>1828</v>
      </c>
      <c r="B400" s="25"/>
      <c r="C400" s="25" t="s">
        <v>1829</v>
      </c>
      <c r="D400" s="25"/>
      <c r="E400" s="25"/>
    </row>
    <row r="401" spans="1:5" s="15" customFormat="1" ht="12.95" customHeight="1">
      <c r="A401" s="25" t="s">
        <v>1830</v>
      </c>
      <c r="B401" s="25"/>
      <c r="C401" s="25" t="s">
        <v>1831</v>
      </c>
      <c r="D401" s="25"/>
      <c r="E401" s="25"/>
    </row>
    <row r="402" spans="1:5" s="15" customFormat="1" ht="12.95" customHeight="1">
      <c r="A402" s="25" t="s">
        <v>1832</v>
      </c>
      <c r="B402" s="25"/>
      <c r="C402" s="25" t="s">
        <v>1833</v>
      </c>
      <c r="D402" s="25"/>
      <c r="E402" s="25"/>
    </row>
    <row r="403" spans="1:5" s="15" customFormat="1" ht="12.95" customHeight="1">
      <c r="A403" s="25" t="s">
        <v>1834</v>
      </c>
      <c r="B403" s="25"/>
      <c r="C403" s="25" t="s">
        <v>1833</v>
      </c>
      <c r="D403" s="25"/>
      <c r="E403" s="25"/>
    </row>
    <row r="404" spans="1:5" s="15" customFormat="1" ht="12.95" customHeight="1">
      <c r="A404" s="25" t="s">
        <v>1835</v>
      </c>
      <c r="B404" s="25"/>
      <c r="C404" s="25" t="s">
        <v>1836</v>
      </c>
      <c r="D404" s="25"/>
      <c r="E404" s="25"/>
    </row>
    <row r="405" spans="1:5" s="15" customFormat="1" ht="12.95" customHeight="1">
      <c r="A405" s="25" t="s">
        <v>1837</v>
      </c>
      <c r="B405" s="25"/>
      <c r="C405" s="25" t="s">
        <v>1838</v>
      </c>
      <c r="D405" s="25"/>
      <c r="E405" s="25"/>
    </row>
    <row r="406" spans="1:5" s="15" customFormat="1" ht="12.95" customHeight="1">
      <c r="A406" s="25" t="s">
        <v>1839</v>
      </c>
      <c r="B406" s="25"/>
      <c r="C406" s="25" t="s">
        <v>1840</v>
      </c>
      <c r="D406" s="25"/>
      <c r="E406" s="25"/>
    </row>
    <row r="407" spans="1:5" s="15" customFormat="1" ht="12.95" customHeight="1">
      <c r="A407" s="25" t="s">
        <v>1841</v>
      </c>
      <c r="B407" s="25"/>
      <c r="C407" s="25" t="s">
        <v>1838</v>
      </c>
      <c r="D407" s="25"/>
      <c r="E407" s="25"/>
    </row>
    <row r="408" spans="1:5" s="15" customFormat="1" ht="12.95" customHeight="1">
      <c r="A408" s="25" t="s">
        <v>1842</v>
      </c>
      <c r="B408" s="25"/>
      <c r="C408" s="25" t="s">
        <v>1843</v>
      </c>
      <c r="D408" s="25"/>
      <c r="E408" s="25"/>
    </row>
    <row r="409" spans="1:5" s="15" customFormat="1" ht="12.95" customHeight="1">
      <c r="A409" s="25" t="s">
        <v>1844</v>
      </c>
      <c r="B409" s="25"/>
      <c r="C409" s="25" t="s">
        <v>1840</v>
      </c>
      <c r="D409" s="25"/>
      <c r="E409" s="25"/>
    </row>
    <row r="410" spans="1:5" s="15" customFormat="1" ht="12.95" customHeight="1">
      <c r="A410" s="25" t="s">
        <v>1845</v>
      </c>
      <c r="B410" s="25"/>
      <c r="C410" s="25" t="s">
        <v>1838</v>
      </c>
      <c r="D410" s="25"/>
      <c r="E410" s="25"/>
    </row>
    <row r="411" spans="1:5" s="15" customFormat="1" ht="12.95" customHeight="1">
      <c r="A411" s="25" t="s">
        <v>1846</v>
      </c>
      <c r="B411" s="25"/>
      <c r="C411" s="25" t="s">
        <v>1847</v>
      </c>
      <c r="D411" s="25"/>
      <c r="E411" s="25"/>
    </row>
    <row r="412" spans="1:5" s="15" customFormat="1" ht="12.95" customHeight="1">
      <c r="A412" s="25" t="s">
        <v>1848</v>
      </c>
      <c r="B412" s="25"/>
      <c r="C412" s="25" t="s">
        <v>1849</v>
      </c>
      <c r="D412" s="25"/>
      <c r="E412" s="25"/>
    </row>
    <row r="413" spans="1:5" s="15" customFormat="1" ht="12.95" customHeight="1">
      <c r="A413" s="25" t="s">
        <v>1850</v>
      </c>
      <c r="B413" s="25"/>
      <c r="C413" s="25" t="s">
        <v>1851</v>
      </c>
      <c r="D413" s="25"/>
      <c r="E413" s="25"/>
    </row>
    <row r="414" spans="1:5" s="15" customFormat="1" ht="12.95" customHeight="1">
      <c r="A414" s="25" t="s">
        <v>1852</v>
      </c>
      <c r="B414" s="25"/>
      <c r="C414" s="25" t="s">
        <v>1851</v>
      </c>
      <c r="D414" s="25"/>
      <c r="E414" s="25"/>
    </row>
    <row r="415" spans="1:5" s="15" customFormat="1" ht="12.95" customHeight="1">
      <c r="A415" s="25" t="s">
        <v>1853</v>
      </c>
      <c r="B415" s="25"/>
      <c r="C415" s="25" t="s">
        <v>1854</v>
      </c>
      <c r="D415" s="25"/>
      <c r="E415" s="25"/>
    </row>
    <row r="416" spans="1:5" s="15" customFormat="1" ht="12.95" customHeight="1">
      <c r="A416" s="25" t="s">
        <v>1855</v>
      </c>
      <c r="B416" s="25"/>
      <c r="C416" s="25" t="s">
        <v>1856</v>
      </c>
      <c r="D416" s="25"/>
      <c r="E416" s="25"/>
    </row>
    <row r="417" spans="1:5" s="15" customFormat="1" ht="12.95" customHeight="1">
      <c r="A417" s="25" t="s">
        <v>1857</v>
      </c>
      <c r="B417" s="25"/>
      <c r="C417" s="25" t="s">
        <v>1858</v>
      </c>
      <c r="D417" s="25"/>
      <c r="E417" s="25"/>
    </row>
    <row r="418" spans="1:5" s="15" customFormat="1" ht="12.95" customHeight="1">
      <c r="A418" s="25" t="s">
        <v>1859</v>
      </c>
      <c r="B418" s="25"/>
      <c r="C418" s="25" t="s">
        <v>1860</v>
      </c>
      <c r="D418" s="25"/>
      <c r="E418" s="25"/>
    </row>
    <row r="419" spans="1:5" s="15" customFormat="1" ht="12.95" customHeight="1">
      <c r="A419" s="25" t="s">
        <v>1861</v>
      </c>
      <c r="B419" s="25"/>
      <c r="C419" s="25" t="s">
        <v>1862</v>
      </c>
      <c r="D419" s="25"/>
      <c r="E419" s="25"/>
    </row>
    <row r="420" spans="1:5" s="15" customFormat="1" ht="12.95" customHeight="1">
      <c r="A420" s="25" t="s">
        <v>1863</v>
      </c>
      <c r="B420" s="25"/>
      <c r="C420" s="25" t="s">
        <v>1864</v>
      </c>
      <c r="D420" s="25"/>
      <c r="E420" s="25"/>
    </row>
    <row r="421" spans="1:5" s="15" customFormat="1" ht="12.95" customHeight="1">
      <c r="A421" s="25" t="s">
        <v>1865</v>
      </c>
      <c r="B421" s="25"/>
      <c r="C421" s="25" t="s">
        <v>1862</v>
      </c>
      <c r="D421" s="25"/>
      <c r="E421" s="25"/>
    </row>
    <row r="422" spans="1:5" s="15" customFormat="1" ht="12.95" customHeight="1">
      <c r="A422" s="25" t="s">
        <v>1866</v>
      </c>
      <c r="B422" s="25"/>
      <c r="C422" s="25" t="s">
        <v>1864</v>
      </c>
      <c r="D422" s="25"/>
      <c r="E422" s="25"/>
    </row>
    <row r="423" spans="1:5" s="15" customFormat="1" ht="12.95" customHeight="1">
      <c r="A423" s="25" t="s">
        <v>1867</v>
      </c>
      <c r="B423" s="25"/>
      <c r="C423" s="25" t="s">
        <v>1868</v>
      </c>
      <c r="D423" s="25"/>
      <c r="E423" s="25"/>
    </row>
    <row r="424" spans="1:5" s="15" customFormat="1" ht="12.95" customHeight="1">
      <c r="A424" s="25" t="s">
        <v>1869</v>
      </c>
      <c r="B424" s="25"/>
      <c r="C424" s="25" t="s">
        <v>1870</v>
      </c>
      <c r="D424" s="25"/>
      <c r="E424" s="25"/>
    </row>
    <row r="425" spans="1:5" s="15" customFormat="1" ht="12.95" customHeight="1">
      <c r="A425" s="25" t="s">
        <v>1871</v>
      </c>
      <c r="B425" s="25"/>
      <c r="C425" s="25" t="s">
        <v>1872</v>
      </c>
      <c r="D425" s="25"/>
      <c r="E425" s="25"/>
    </row>
    <row r="426" spans="1:5" s="15" customFormat="1" ht="12.95" customHeight="1">
      <c r="A426" s="25" t="s">
        <v>1873</v>
      </c>
      <c r="B426" s="25"/>
      <c r="C426" s="25" t="s">
        <v>1874</v>
      </c>
      <c r="D426" s="25"/>
      <c r="E426" s="25"/>
    </row>
    <row r="427" spans="1:5" s="15" customFormat="1" ht="12.95" customHeight="1">
      <c r="A427" s="25" t="s">
        <v>1875</v>
      </c>
      <c r="B427" s="25"/>
      <c r="C427" s="25" t="s">
        <v>1876</v>
      </c>
      <c r="D427" s="25"/>
      <c r="E427" s="25"/>
    </row>
    <row r="428" spans="1:5" s="15" customFormat="1" ht="12.95" customHeight="1">
      <c r="A428" s="25" t="s">
        <v>1877</v>
      </c>
      <c r="B428" s="25"/>
      <c r="C428" s="25" t="s">
        <v>1878</v>
      </c>
      <c r="D428" s="25"/>
      <c r="E428" s="25"/>
    </row>
    <row r="429" spans="1:5" s="15" customFormat="1" ht="12.95" customHeight="1">
      <c r="A429" s="25" t="s">
        <v>1879</v>
      </c>
      <c r="B429" s="25"/>
      <c r="C429" s="25" t="s">
        <v>1880</v>
      </c>
      <c r="D429" s="25"/>
      <c r="E429" s="25"/>
    </row>
    <row r="430" spans="1:5" s="15" customFormat="1" ht="12.95" customHeight="1">
      <c r="A430" s="25" t="s">
        <v>1881</v>
      </c>
      <c r="B430" s="25"/>
      <c r="C430" s="25" t="s">
        <v>1882</v>
      </c>
      <c r="D430" s="25"/>
      <c r="E430" s="25"/>
    </row>
    <row r="431" spans="1:5" s="15" customFormat="1" ht="12.95" customHeight="1">
      <c r="A431" s="25" t="s">
        <v>1883</v>
      </c>
      <c r="B431" s="25"/>
      <c r="C431" s="25" t="s">
        <v>1884</v>
      </c>
      <c r="D431" s="25"/>
      <c r="E431" s="25"/>
    </row>
    <row r="432" spans="1:5" s="15" customFormat="1" ht="12.95" customHeight="1">
      <c r="A432" s="25" t="s">
        <v>1885</v>
      </c>
      <c r="B432" s="25"/>
      <c r="C432" s="25" t="s">
        <v>1886</v>
      </c>
      <c r="D432" s="25"/>
      <c r="E432" s="25"/>
    </row>
    <row r="433" spans="1:5" s="15" customFormat="1" ht="12.95" customHeight="1">
      <c r="A433" s="25" t="s">
        <v>1887</v>
      </c>
      <c r="B433" s="25"/>
      <c r="C433" s="25" t="s">
        <v>1880</v>
      </c>
      <c r="D433" s="25"/>
      <c r="E433" s="25"/>
    </row>
    <row r="434" spans="1:5" s="15" customFormat="1" ht="12.95" customHeight="1">
      <c r="A434" s="25" t="s">
        <v>1888</v>
      </c>
      <c r="B434" s="25"/>
      <c r="C434" s="25" t="s">
        <v>1889</v>
      </c>
      <c r="D434" s="25"/>
      <c r="E434" s="25"/>
    </row>
    <row r="435" spans="1:5" s="15" customFormat="1" ht="12.95" customHeight="1">
      <c r="A435" s="25" t="s">
        <v>1890</v>
      </c>
      <c r="B435" s="25"/>
      <c r="C435" s="25" t="s">
        <v>1882</v>
      </c>
      <c r="D435" s="25"/>
      <c r="E435" s="25"/>
    </row>
    <row r="436" spans="1:5" s="15" customFormat="1" ht="12.95" customHeight="1">
      <c r="A436" s="25" t="s">
        <v>1891</v>
      </c>
      <c r="B436" s="25"/>
      <c r="C436" s="25" t="s">
        <v>1886</v>
      </c>
      <c r="D436" s="25"/>
      <c r="E436" s="25"/>
    </row>
    <row r="437" spans="1:5" s="15" customFormat="1" ht="12.95" customHeight="1">
      <c r="A437" s="25" t="s">
        <v>1892</v>
      </c>
      <c r="B437" s="25"/>
      <c r="C437" s="25" t="s">
        <v>1893</v>
      </c>
      <c r="D437" s="25"/>
      <c r="E437" s="25"/>
    </row>
    <row r="438" spans="1:5" s="15" customFormat="1" ht="12.95" customHeight="1">
      <c r="A438" s="25" t="s">
        <v>1894</v>
      </c>
      <c r="B438" s="25"/>
      <c r="C438" s="25" t="s">
        <v>1895</v>
      </c>
      <c r="D438" s="25"/>
      <c r="E438" s="25"/>
    </row>
    <row r="439" spans="1:5" s="15" customFormat="1" ht="12.95" customHeight="1">
      <c r="A439" s="25" t="s">
        <v>1896</v>
      </c>
      <c r="B439" s="25"/>
      <c r="C439" s="25" t="s">
        <v>1897</v>
      </c>
      <c r="D439" s="25"/>
      <c r="E439" s="25"/>
    </row>
    <row r="440" spans="1:5" s="15" customFormat="1" ht="12.95" customHeight="1">
      <c r="A440" s="25" t="s">
        <v>1898</v>
      </c>
      <c r="B440" s="25"/>
      <c r="C440" s="25" t="s">
        <v>1899</v>
      </c>
      <c r="D440" s="25"/>
      <c r="E440" s="25"/>
    </row>
    <row r="441" spans="1:5" s="15" customFormat="1" ht="12.95" customHeight="1">
      <c r="A441" s="25" t="s">
        <v>1900</v>
      </c>
      <c r="B441" s="25"/>
      <c r="C441" s="25" t="s">
        <v>1897</v>
      </c>
      <c r="D441" s="25"/>
      <c r="E441" s="25"/>
    </row>
    <row r="442" spans="1:5" s="15" customFormat="1" ht="12.95" customHeight="1">
      <c r="A442" s="25" t="s">
        <v>1901</v>
      </c>
      <c r="B442" s="25"/>
      <c r="C442" s="25" t="s">
        <v>1902</v>
      </c>
      <c r="D442" s="25"/>
      <c r="E442" s="25"/>
    </row>
    <row r="443" spans="1:5" s="15" customFormat="1" ht="12.95" customHeight="1">
      <c r="A443" s="25" t="s">
        <v>1903</v>
      </c>
      <c r="B443" s="25"/>
      <c r="C443" s="25" t="s">
        <v>1904</v>
      </c>
      <c r="D443" s="25"/>
      <c r="E443" s="25"/>
    </row>
    <row r="444" spans="1:5" s="15" customFormat="1" ht="12.95" customHeight="1">
      <c r="A444" s="25" t="s">
        <v>1905</v>
      </c>
      <c r="B444" s="25"/>
      <c r="C444" s="25" t="s">
        <v>1897</v>
      </c>
      <c r="D444" s="25"/>
      <c r="E444" s="25"/>
    </row>
    <row r="445" spans="1:5" s="15" customFormat="1" ht="12.95" customHeight="1">
      <c r="A445" s="25" t="s">
        <v>1906</v>
      </c>
      <c r="B445" s="25"/>
      <c r="C445" s="25" t="s">
        <v>1902</v>
      </c>
      <c r="D445" s="25"/>
      <c r="E445" s="25"/>
    </row>
    <row r="446" spans="1:5" s="15" customFormat="1" ht="12.95" customHeight="1">
      <c r="A446" s="25" t="s">
        <v>1907</v>
      </c>
      <c r="B446" s="25"/>
      <c r="C446" s="25" t="s">
        <v>1908</v>
      </c>
      <c r="D446" s="25"/>
      <c r="E446" s="25"/>
    </row>
    <row r="447" spans="1:5" s="15" customFormat="1" ht="12.95" customHeight="1">
      <c r="A447" s="25" t="s">
        <v>1909</v>
      </c>
      <c r="B447" s="25"/>
      <c r="C447" s="25" t="s">
        <v>1910</v>
      </c>
      <c r="D447" s="25"/>
      <c r="E447" s="25"/>
    </row>
    <row r="448" spans="1:5" s="15" customFormat="1" ht="12.95" customHeight="1">
      <c r="A448" s="25" t="s">
        <v>1911</v>
      </c>
      <c r="B448" s="25"/>
      <c r="C448" s="25" t="s">
        <v>1910</v>
      </c>
      <c r="D448" s="25"/>
      <c r="E448" s="25"/>
    </row>
    <row r="449" spans="1:5" s="15" customFormat="1" ht="12.95" customHeight="1">
      <c r="A449" s="25" t="s">
        <v>1912</v>
      </c>
      <c r="B449" s="25"/>
      <c r="C449" s="25" t="s">
        <v>1913</v>
      </c>
      <c r="D449" s="25"/>
      <c r="E449" s="25"/>
    </row>
    <row r="450" spans="1:5" s="15" customFormat="1" ht="12.95" customHeight="1">
      <c r="A450" s="25" t="s">
        <v>1914</v>
      </c>
      <c r="B450" s="25"/>
      <c r="C450" s="25" t="s">
        <v>1915</v>
      </c>
      <c r="D450" s="25"/>
      <c r="E450" s="25"/>
    </row>
    <row r="451" spans="1:5" s="15" customFormat="1" ht="12.95" customHeight="1">
      <c r="A451" s="25" t="s">
        <v>1916</v>
      </c>
      <c r="B451" s="25"/>
      <c r="C451" s="25" t="s">
        <v>1917</v>
      </c>
      <c r="D451" s="25"/>
      <c r="E451" s="25"/>
    </row>
    <row r="452" spans="1:5" s="15" customFormat="1" ht="12.95" customHeight="1">
      <c r="A452" s="25" t="s">
        <v>1918</v>
      </c>
      <c r="B452" s="25"/>
      <c r="C452" s="25" t="s">
        <v>1919</v>
      </c>
      <c r="D452" s="25"/>
      <c r="E452" s="25"/>
    </row>
  </sheetData>
  <mergeCells count="449">
    <mergeCell ref="A448:B448"/>
    <mergeCell ref="C448:E448"/>
    <mergeCell ref="A449:B449"/>
    <mergeCell ref="C449:E449"/>
    <mergeCell ref="A450:B450"/>
    <mergeCell ref="C450:E450"/>
    <mergeCell ref="A451:B451"/>
    <mergeCell ref="C451:E451"/>
    <mergeCell ref="A452:B452"/>
    <mergeCell ref="C452:E452"/>
    <mergeCell ref="A443:B443"/>
    <mergeCell ref="C443:E443"/>
    <mergeCell ref="A444:B444"/>
    <mergeCell ref="C444:E444"/>
    <mergeCell ref="A445:B445"/>
    <mergeCell ref="C445:E445"/>
    <mergeCell ref="A446:B446"/>
    <mergeCell ref="C446:E446"/>
    <mergeCell ref="A447:B447"/>
    <mergeCell ref="C447:E447"/>
    <mergeCell ref="A438:B438"/>
    <mergeCell ref="C438:E438"/>
    <mergeCell ref="A439:B439"/>
    <mergeCell ref="C439:E439"/>
    <mergeCell ref="A440:B440"/>
    <mergeCell ref="C440:E440"/>
    <mergeCell ref="A441:B441"/>
    <mergeCell ref="C441:E441"/>
    <mergeCell ref="A442:B442"/>
    <mergeCell ref="C442:E442"/>
    <mergeCell ref="A433:B433"/>
    <mergeCell ref="C433:E433"/>
    <mergeCell ref="A434:B434"/>
    <mergeCell ref="C434:E434"/>
    <mergeCell ref="A435:B435"/>
    <mergeCell ref="C435:E435"/>
    <mergeCell ref="A436:B436"/>
    <mergeCell ref="C436:E436"/>
    <mergeCell ref="A437:B437"/>
    <mergeCell ref="C437:E437"/>
    <mergeCell ref="A428:B428"/>
    <mergeCell ref="C428:E428"/>
    <mergeCell ref="A429:B429"/>
    <mergeCell ref="C429:E429"/>
    <mergeCell ref="A430:B430"/>
    <mergeCell ref="C430:E430"/>
    <mergeCell ref="A431:B431"/>
    <mergeCell ref="C431:E431"/>
    <mergeCell ref="A432:B432"/>
    <mergeCell ref="C432:E432"/>
    <mergeCell ref="A423:B423"/>
    <mergeCell ref="C423:E423"/>
    <mergeCell ref="A424:B424"/>
    <mergeCell ref="C424:E424"/>
    <mergeCell ref="A425:B425"/>
    <mergeCell ref="C425:E425"/>
    <mergeCell ref="A426:B426"/>
    <mergeCell ref="C426:E426"/>
    <mergeCell ref="A427:B427"/>
    <mergeCell ref="C427:E427"/>
    <mergeCell ref="A418:B418"/>
    <mergeCell ref="C418:E418"/>
    <mergeCell ref="A419:B419"/>
    <mergeCell ref="C419:E419"/>
    <mergeCell ref="A420:B420"/>
    <mergeCell ref="C420:E420"/>
    <mergeCell ref="A421:B421"/>
    <mergeCell ref="C421:E421"/>
    <mergeCell ref="A422:B422"/>
    <mergeCell ref="C422:E422"/>
    <mergeCell ref="A413:B413"/>
    <mergeCell ref="C413:E413"/>
    <mergeCell ref="A414:B414"/>
    <mergeCell ref="C414:E414"/>
    <mergeCell ref="A415:B415"/>
    <mergeCell ref="C415:E415"/>
    <mergeCell ref="A416:B416"/>
    <mergeCell ref="C416:E416"/>
    <mergeCell ref="A417:B417"/>
    <mergeCell ref="C417:E417"/>
    <mergeCell ref="A408:B408"/>
    <mergeCell ref="C408:E408"/>
    <mergeCell ref="A409:B409"/>
    <mergeCell ref="C409:E409"/>
    <mergeCell ref="A410:B410"/>
    <mergeCell ref="C410:E410"/>
    <mergeCell ref="A411:B411"/>
    <mergeCell ref="C411:E411"/>
    <mergeCell ref="A412:B412"/>
    <mergeCell ref="C412:E412"/>
    <mergeCell ref="A403:B403"/>
    <mergeCell ref="C403:E403"/>
    <mergeCell ref="A404:B404"/>
    <mergeCell ref="C404:E404"/>
    <mergeCell ref="A405:B405"/>
    <mergeCell ref="C405:E405"/>
    <mergeCell ref="A406:B406"/>
    <mergeCell ref="C406:E406"/>
    <mergeCell ref="A407:B407"/>
    <mergeCell ref="C407:E407"/>
    <mergeCell ref="A398:B398"/>
    <mergeCell ref="C398:E398"/>
    <mergeCell ref="A399:B399"/>
    <mergeCell ref="C399:E399"/>
    <mergeCell ref="A400:B400"/>
    <mergeCell ref="C400:E400"/>
    <mergeCell ref="A401:B401"/>
    <mergeCell ref="C401:E401"/>
    <mergeCell ref="A402:B402"/>
    <mergeCell ref="C402:E402"/>
    <mergeCell ref="A393:B393"/>
    <mergeCell ref="C393:E393"/>
    <mergeCell ref="A394:B394"/>
    <mergeCell ref="C394:E394"/>
    <mergeCell ref="A395:B395"/>
    <mergeCell ref="C395:E395"/>
    <mergeCell ref="A396:B396"/>
    <mergeCell ref="C396:E396"/>
    <mergeCell ref="A397:B397"/>
    <mergeCell ref="C397:E397"/>
    <mergeCell ref="A388:B388"/>
    <mergeCell ref="C388:E388"/>
    <mergeCell ref="A389:B389"/>
    <mergeCell ref="C389:E389"/>
    <mergeCell ref="A390:B390"/>
    <mergeCell ref="C390:E390"/>
    <mergeCell ref="A391:B391"/>
    <mergeCell ref="C391:E391"/>
    <mergeCell ref="A392:B392"/>
    <mergeCell ref="C392:E392"/>
    <mergeCell ref="A383:B383"/>
    <mergeCell ref="C383:E383"/>
    <mergeCell ref="A384:B384"/>
    <mergeCell ref="C384:E384"/>
    <mergeCell ref="A385:B385"/>
    <mergeCell ref="C385:E385"/>
    <mergeCell ref="A386:B386"/>
    <mergeCell ref="C386:E386"/>
    <mergeCell ref="A387:B387"/>
    <mergeCell ref="C387:E387"/>
    <mergeCell ref="A378:B378"/>
    <mergeCell ref="C378:E378"/>
    <mergeCell ref="A379:B379"/>
    <mergeCell ref="C379:E379"/>
    <mergeCell ref="A380:B380"/>
    <mergeCell ref="C380:E380"/>
    <mergeCell ref="A381:B381"/>
    <mergeCell ref="C381:E381"/>
    <mergeCell ref="A382:B382"/>
    <mergeCell ref="C382:E382"/>
    <mergeCell ref="A373:B373"/>
    <mergeCell ref="C373:E373"/>
    <mergeCell ref="A374:B374"/>
    <mergeCell ref="C374:E374"/>
    <mergeCell ref="A375:B375"/>
    <mergeCell ref="C375:E375"/>
    <mergeCell ref="A376:B376"/>
    <mergeCell ref="C376:E376"/>
    <mergeCell ref="A377:B377"/>
    <mergeCell ref="C377:E377"/>
    <mergeCell ref="A368:B368"/>
    <mergeCell ref="C368:E368"/>
    <mergeCell ref="A369:B369"/>
    <mergeCell ref="C369:E369"/>
    <mergeCell ref="A370:B370"/>
    <mergeCell ref="C370:E370"/>
    <mergeCell ref="A371:B371"/>
    <mergeCell ref="C371:E371"/>
    <mergeCell ref="A372:B372"/>
    <mergeCell ref="C372:E372"/>
    <mergeCell ref="A363:B363"/>
    <mergeCell ref="C363:E363"/>
    <mergeCell ref="A364:B364"/>
    <mergeCell ref="C364:E364"/>
    <mergeCell ref="A365:B365"/>
    <mergeCell ref="C365:E365"/>
    <mergeCell ref="A366:B366"/>
    <mergeCell ref="C366:E366"/>
    <mergeCell ref="A367:B367"/>
    <mergeCell ref="C367:E367"/>
    <mergeCell ref="A358:B358"/>
    <mergeCell ref="C358:E358"/>
    <mergeCell ref="A359:B359"/>
    <mergeCell ref="C359:E359"/>
    <mergeCell ref="A360:B360"/>
    <mergeCell ref="C360:E360"/>
    <mergeCell ref="A361:B361"/>
    <mergeCell ref="C361:E361"/>
    <mergeCell ref="A362:B362"/>
    <mergeCell ref="C362:E362"/>
    <mergeCell ref="A353:B353"/>
    <mergeCell ref="C353:E353"/>
    <mergeCell ref="A354:B354"/>
    <mergeCell ref="C354:E354"/>
    <mergeCell ref="A355:B355"/>
    <mergeCell ref="C355:E355"/>
    <mergeCell ref="A356:B356"/>
    <mergeCell ref="C356:E356"/>
    <mergeCell ref="A357:B357"/>
    <mergeCell ref="C357:E357"/>
    <mergeCell ref="A348:B348"/>
    <mergeCell ref="C348:E348"/>
    <mergeCell ref="A349:B349"/>
    <mergeCell ref="C349:E349"/>
    <mergeCell ref="A350:B350"/>
    <mergeCell ref="C350:E350"/>
    <mergeCell ref="A351:B351"/>
    <mergeCell ref="C351:E351"/>
    <mergeCell ref="A352:B352"/>
    <mergeCell ref="C352:E352"/>
    <mergeCell ref="A343:B343"/>
    <mergeCell ref="C343:E343"/>
    <mergeCell ref="A344:B344"/>
    <mergeCell ref="C344:E344"/>
    <mergeCell ref="A345:B345"/>
    <mergeCell ref="C345:E345"/>
    <mergeCell ref="A346:B346"/>
    <mergeCell ref="C346:E346"/>
    <mergeCell ref="A347:B347"/>
    <mergeCell ref="C347:E347"/>
    <mergeCell ref="A338:B338"/>
    <mergeCell ref="C338:E338"/>
    <mergeCell ref="A339:B339"/>
    <mergeCell ref="C339:E339"/>
    <mergeCell ref="A340:B340"/>
    <mergeCell ref="C340:E340"/>
    <mergeCell ref="A341:B341"/>
    <mergeCell ref="C341:E341"/>
    <mergeCell ref="A342:B342"/>
    <mergeCell ref="C342:E342"/>
    <mergeCell ref="A333:B333"/>
    <mergeCell ref="C333:E333"/>
    <mergeCell ref="A334:B334"/>
    <mergeCell ref="C334:E334"/>
    <mergeCell ref="A335:B335"/>
    <mergeCell ref="C335:E335"/>
    <mergeCell ref="A336:B336"/>
    <mergeCell ref="C336:E336"/>
    <mergeCell ref="A337:B337"/>
    <mergeCell ref="C337:E337"/>
    <mergeCell ref="A328:B328"/>
    <mergeCell ref="C328:E328"/>
    <mergeCell ref="A329:B329"/>
    <mergeCell ref="C329:E329"/>
    <mergeCell ref="A330:B330"/>
    <mergeCell ref="C330:E330"/>
    <mergeCell ref="A331:B331"/>
    <mergeCell ref="C331:E331"/>
    <mergeCell ref="A332:B332"/>
    <mergeCell ref="C332:E332"/>
    <mergeCell ref="A323:B323"/>
    <mergeCell ref="C323:E323"/>
    <mergeCell ref="A324:B324"/>
    <mergeCell ref="C324:E324"/>
    <mergeCell ref="A325:B325"/>
    <mergeCell ref="C325:E325"/>
    <mergeCell ref="A326:B326"/>
    <mergeCell ref="C326:E326"/>
    <mergeCell ref="A327:B327"/>
    <mergeCell ref="C327:E327"/>
    <mergeCell ref="A318:B318"/>
    <mergeCell ref="C318:E318"/>
    <mergeCell ref="A319:B319"/>
    <mergeCell ref="C319:E319"/>
    <mergeCell ref="A320:B320"/>
    <mergeCell ref="C320:E320"/>
    <mergeCell ref="A321:B321"/>
    <mergeCell ref="C321:E321"/>
    <mergeCell ref="A322:B322"/>
    <mergeCell ref="C322:E322"/>
    <mergeCell ref="A313:B313"/>
    <mergeCell ref="C313:E313"/>
    <mergeCell ref="A314:B314"/>
    <mergeCell ref="C314:E314"/>
    <mergeCell ref="A315:B315"/>
    <mergeCell ref="C315:E315"/>
    <mergeCell ref="A316:B316"/>
    <mergeCell ref="C316:E316"/>
    <mergeCell ref="A317:B317"/>
    <mergeCell ref="C317:E317"/>
    <mergeCell ref="A308:B308"/>
    <mergeCell ref="C308:E308"/>
    <mergeCell ref="A309:B309"/>
    <mergeCell ref="C309:E309"/>
    <mergeCell ref="A310:B310"/>
    <mergeCell ref="C310:E310"/>
    <mergeCell ref="A311:B311"/>
    <mergeCell ref="C311:E311"/>
    <mergeCell ref="A312:B312"/>
    <mergeCell ref="C312:E312"/>
    <mergeCell ref="A303:B303"/>
    <mergeCell ref="C303:E303"/>
    <mergeCell ref="A304:B304"/>
    <mergeCell ref="C304:E304"/>
    <mergeCell ref="A305:B305"/>
    <mergeCell ref="C305:E305"/>
    <mergeCell ref="A306:B306"/>
    <mergeCell ref="C306:E306"/>
    <mergeCell ref="A307:B307"/>
    <mergeCell ref="C307:E307"/>
    <mergeCell ref="A298:B298"/>
    <mergeCell ref="C298:E298"/>
    <mergeCell ref="A299:B299"/>
    <mergeCell ref="C299:E299"/>
    <mergeCell ref="A300:B300"/>
    <mergeCell ref="C300:E300"/>
    <mergeCell ref="A301:B301"/>
    <mergeCell ref="C301:E301"/>
    <mergeCell ref="A302:B302"/>
    <mergeCell ref="C302:E302"/>
    <mergeCell ref="A293:B293"/>
    <mergeCell ref="C293:E293"/>
    <mergeCell ref="A294:B294"/>
    <mergeCell ref="C294:E294"/>
    <mergeCell ref="A295:B295"/>
    <mergeCell ref="C295:E295"/>
    <mergeCell ref="A296:B296"/>
    <mergeCell ref="C296:E296"/>
    <mergeCell ref="A297:B297"/>
    <mergeCell ref="C297:E297"/>
    <mergeCell ref="A288:B288"/>
    <mergeCell ref="C288:E288"/>
    <mergeCell ref="A289:B289"/>
    <mergeCell ref="C289:E289"/>
    <mergeCell ref="A290:B290"/>
    <mergeCell ref="C290:E290"/>
    <mergeCell ref="A291:B291"/>
    <mergeCell ref="C291:E291"/>
    <mergeCell ref="A292:B292"/>
    <mergeCell ref="C292:E292"/>
    <mergeCell ref="A283:B283"/>
    <mergeCell ref="C283:E283"/>
    <mergeCell ref="A284:B284"/>
    <mergeCell ref="C284:E284"/>
    <mergeCell ref="A285:B285"/>
    <mergeCell ref="C285:E285"/>
    <mergeCell ref="A286:B286"/>
    <mergeCell ref="C286:E286"/>
    <mergeCell ref="A287:B287"/>
    <mergeCell ref="C287:E287"/>
    <mergeCell ref="A278:B278"/>
    <mergeCell ref="C278:E278"/>
    <mergeCell ref="A279:B279"/>
    <mergeCell ref="C279:E279"/>
    <mergeCell ref="A280:B280"/>
    <mergeCell ref="C280:E280"/>
    <mergeCell ref="A281:B281"/>
    <mergeCell ref="C281:E281"/>
    <mergeCell ref="A282:B282"/>
    <mergeCell ref="C282:E282"/>
    <mergeCell ref="A273:B273"/>
    <mergeCell ref="C273:E273"/>
    <mergeCell ref="A274:B274"/>
    <mergeCell ref="C274:E274"/>
    <mergeCell ref="A275:B275"/>
    <mergeCell ref="C275:E275"/>
    <mergeCell ref="A276:B276"/>
    <mergeCell ref="C276:E276"/>
    <mergeCell ref="A277:B277"/>
    <mergeCell ref="C277:E277"/>
    <mergeCell ref="A268:B268"/>
    <mergeCell ref="C268:E268"/>
    <mergeCell ref="A269:B269"/>
    <mergeCell ref="C269:E269"/>
    <mergeCell ref="A270:B270"/>
    <mergeCell ref="C270:E270"/>
    <mergeCell ref="A271:B271"/>
    <mergeCell ref="C271:E271"/>
    <mergeCell ref="A272:B272"/>
    <mergeCell ref="C272:E272"/>
    <mergeCell ref="A263:B263"/>
    <mergeCell ref="C263:E263"/>
    <mergeCell ref="A264:B264"/>
    <mergeCell ref="C264:E264"/>
    <mergeCell ref="A265:B265"/>
    <mergeCell ref="C265:E265"/>
    <mergeCell ref="A266:B266"/>
    <mergeCell ref="C266:E266"/>
    <mergeCell ref="A267:B267"/>
    <mergeCell ref="C267:E267"/>
    <mergeCell ref="A258:B258"/>
    <mergeCell ref="C258:E258"/>
    <mergeCell ref="A259:B259"/>
    <mergeCell ref="C259:E259"/>
    <mergeCell ref="A260:B260"/>
    <mergeCell ref="C260:E260"/>
    <mergeCell ref="A261:B261"/>
    <mergeCell ref="C261:E261"/>
    <mergeCell ref="A262:B262"/>
    <mergeCell ref="C262:E262"/>
    <mergeCell ref="A253:B253"/>
    <mergeCell ref="C253:E253"/>
    <mergeCell ref="A254:B254"/>
    <mergeCell ref="C254:E254"/>
    <mergeCell ref="A255:B255"/>
    <mergeCell ref="C255:E255"/>
    <mergeCell ref="A256:B256"/>
    <mergeCell ref="C256:E256"/>
    <mergeCell ref="A257:B257"/>
    <mergeCell ref="C257:E257"/>
    <mergeCell ref="A248:B248"/>
    <mergeCell ref="C248:E248"/>
    <mergeCell ref="A249:B249"/>
    <mergeCell ref="C249:E249"/>
    <mergeCell ref="A250:B250"/>
    <mergeCell ref="C250:E250"/>
    <mergeCell ref="A251:B251"/>
    <mergeCell ref="C251:E251"/>
    <mergeCell ref="A252:B252"/>
    <mergeCell ref="C252:E252"/>
    <mergeCell ref="A243:B243"/>
    <mergeCell ref="C243:E243"/>
    <mergeCell ref="A244:B244"/>
    <mergeCell ref="C244:E244"/>
    <mergeCell ref="A245:B245"/>
    <mergeCell ref="C245:E245"/>
    <mergeCell ref="A246:B246"/>
    <mergeCell ref="C246:E246"/>
    <mergeCell ref="A247:B247"/>
    <mergeCell ref="C247:E247"/>
    <mergeCell ref="A238:B238"/>
    <mergeCell ref="C238:E238"/>
    <mergeCell ref="A239:B239"/>
    <mergeCell ref="C239:E239"/>
    <mergeCell ref="A240:B240"/>
    <mergeCell ref="C240:E240"/>
    <mergeCell ref="A241:B241"/>
    <mergeCell ref="C241:E241"/>
    <mergeCell ref="A242:B242"/>
    <mergeCell ref="C242:E242"/>
    <mergeCell ref="A233:B233"/>
    <mergeCell ref="C233:E233"/>
    <mergeCell ref="A234:B234"/>
    <mergeCell ref="C234:E234"/>
    <mergeCell ref="A235:B235"/>
    <mergeCell ref="C235:E235"/>
    <mergeCell ref="A236:B236"/>
    <mergeCell ref="C236:E236"/>
    <mergeCell ref="A237:B237"/>
    <mergeCell ref="C237:E237"/>
    <mergeCell ref="A1:E1"/>
    <mergeCell ref="F1:I5"/>
    <mergeCell ref="J1:O1"/>
    <mergeCell ref="A2:E2"/>
    <mergeCell ref="J2:O5"/>
    <mergeCell ref="A3:E3"/>
    <mergeCell ref="A4:E4"/>
    <mergeCell ref="A5:E5"/>
    <mergeCell ref="A231:B231"/>
  </mergeCells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2023-10-30T22:02:04Z</dcterms:modified>
</cp:coreProperties>
</file>